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565" activeTab="1"/>
  </bookViews>
  <sheets>
    <sheet name="Gry pojedyncze" sheetId="1" r:id="rId1"/>
    <sheet name="Gra podwójna" sheetId="2" r:id="rId2"/>
    <sheet name="Arkusz3" sheetId="3" state="hidden" r:id="rId3"/>
  </sheets>
  <externalReferences>
    <externalReference r:id="rId6"/>
  </externalReferences>
  <definedNames>
    <definedName name="Gry">'[1]dane'!$I$3:$I$8</definedName>
    <definedName name="Podw">'[1]dane'!#REF!</definedName>
    <definedName name="Poj">'[1]dane'!$I$3:$I$8</definedName>
  </definedNames>
  <calcPr fullCalcOnLoad="1"/>
</workbook>
</file>

<file path=xl/comments1.xml><?xml version="1.0" encoding="utf-8"?>
<comments xmlns="http://schemas.openxmlformats.org/spreadsheetml/2006/main">
  <authors>
    <author>Marek Łysakowski</author>
  </authors>
  <commentList>
    <comment ref="O6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8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39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4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4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50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5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5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5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61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6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6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6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73" authorId="0">
      <text>
        <r>
          <rPr>
            <b/>
            <sz val="9"/>
            <rFont val="Tahoma"/>
            <family val="2"/>
          </rPr>
          <t>W celu wypełnienia drabinki po zakończeniu gier w grupach wybierz rodzaj gry</t>
        </r>
      </text>
    </comment>
    <comment ref="Y7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7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8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8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8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8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9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9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9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9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10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08" authorId="0">
      <text>
        <r>
          <rPr>
            <b/>
            <sz val="9"/>
            <rFont val="Tahoma"/>
            <family val="2"/>
          </rPr>
          <t>Wpisz nr meczu półfinałowego z górnej połówki drabinki</t>
        </r>
        <r>
          <rPr>
            <sz val="9"/>
            <rFont val="Tahoma"/>
            <family val="2"/>
          </rPr>
          <t xml:space="preserve">
</t>
        </r>
      </text>
    </comment>
    <comment ref="V10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09" authorId="0">
      <text>
        <r>
          <rPr>
            <b/>
            <sz val="9"/>
            <rFont val="Tahoma"/>
            <family val="2"/>
          </rPr>
          <t>Wpisz nr meczu półfinałowego z dolnej połówki drabinki</t>
        </r>
      </text>
    </comment>
    <comment ref="O114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1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28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3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3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3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39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55" authorId="0">
      <text>
        <r>
          <rPr>
            <b/>
            <sz val="9"/>
            <rFont val="Tahoma"/>
            <family val="2"/>
          </rPr>
          <t>W celu wypełnienia drabinki po zakończeniu gier w grupach wybierz rodzaj gry</t>
        </r>
      </text>
    </comment>
    <comment ref="Y15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16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16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16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16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74" authorId="0">
      <text>
        <r>
          <rPr>
            <b/>
            <sz val="9"/>
            <rFont val="Tahoma"/>
            <family val="2"/>
          </rPr>
          <t>Wpisz nr meczu półfinałowego z górnej połówki drabinki</t>
        </r>
        <r>
          <rPr>
            <sz val="9"/>
            <rFont val="Tahoma"/>
            <family val="2"/>
          </rPr>
          <t xml:space="preserve">
</t>
        </r>
      </text>
    </comment>
    <comment ref="V17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75" authorId="0">
      <text>
        <r>
          <rPr>
            <b/>
            <sz val="9"/>
            <rFont val="Tahoma"/>
            <family val="2"/>
          </rPr>
          <t>Wpisz nr meczu półfinałowego z dolnej połówki drabinki</t>
        </r>
      </text>
    </comment>
    <comment ref="S18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9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9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9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98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0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0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0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0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0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0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12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1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1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1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24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V22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31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V23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5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5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5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5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Łysakowski</author>
  </authors>
  <commentList>
    <comment ref="L6" authorId="0">
      <text>
        <r>
          <rPr>
            <b/>
            <sz val="9"/>
            <rFont val="Tahoma"/>
            <family val="2"/>
          </rPr>
          <t>Dla systemu grupowo-pucharowego wpisz miejsce w grupie.</t>
        </r>
        <r>
          <rPr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10"/>
            <rFont val="Times New Roman CE"/>
            <family val="1"/>
          </rPr>
          <t>Dla systemu pucharowego wpisz ilość par.
Dla systemu grupowo-pucharowego wpisz ilość grup.</t>
        </r>
      </text>
    </comment>
    <comment ref="P10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12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R16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20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S24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28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30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R32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34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36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L47" authorId="0">
      <text>
        <r>
          <rPr>
            <b/>
            <sz val="9"/>
            <rFont val="Tahoma"/>
            <family val="2"/>
          </rPr>
          <t>Wpisz nr meczu półfinałowego z gónej połówki drabinki</t>
        </r>
        <r>
          <rPr>
            <sz val="9"/>
            <rFont val="Tahoma"/>
            <family val="2"/>
          </rPr>
          <t xml:space="preserve">
</t>
        </r>
      </text>
    </comment>
    <comment ref="P48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L49" authorId="0">
      <text>
        <r>
          <rPr>
            <b/>
            <sz val="9"/>
            <rFont val="Tahoma"/>
            <family val="2"/>
          </rPr>
          <t>Wpisz nr meczu półfinałowego z dolnej połówki drabinki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<sst xmlns="http://schemas.openxmlformats.org/spreadsheetml/2006/main" count="503" uniqueCount="89">
  <si>
    <t>Beginners</t>
  </si>
  <si>
    <t>Lp</t>
  </si>
  <si>
    <t>Zawodnik</t>
  </si>
  <si>
    <t>Punkty</t>
  </si>
  <si>
    <t>Sety</t>
  </si>
  <si>
    <t>Mecze</t>
  </si>
  <si>
    <t>Miejsce</t>
  </si>
  <si>
    <t>Kolejność
gier</t>
  </si>
  <si>
    <t>Nr
gry</t>
  </si>
  <si>
    <t>Z planu gier</t>
  </si>
  <si>
    <t>Do obliczeń</t>
  </si>
  <si>
    <t>M0026</t>
  </si>
  <si>
    <t>1 set</t>
  </si>
  <si>
    <t>2 set</t>
  </si>
  <si>
    <t>3 set</t>
  </si>
  <si>
    <t>1-3</t>
  </si>
  <si>
    <t>P0021</t>
  </si>
  <si>
    <t>2-3</t>
  </si>
  <si>
    <t>1-2</t>
  </si>
  <si>
    <t>S0038</t>
  </si>
  <si>
    <t>W0013</t>
  </si>
  <si>
    <t>R0017</t>
  </si>
  <si>
    <t>Z0006</t>
  </si>
  <si>
    <t>S0035</t>
  </si>
  <si>
    <t>S0037</t>
  </si>
  <si>
    <t>K0041</t>
  </si>
  <si>
    <t>O0006</t>
  </si>
  <si>
    <t>R0015</t>
  </si>
  <si>
    <t>M0029</t>
  </si>
  <si>
    <t>H0006</t>
  </si>
  <si>
    <t>G0014</t>
  </si>
  <si>
    <t>B0020</t>
  </si>
  <si>
    <t>D0008</t>
  </si>
  <si>
    <t>W0012</t>
  </si>
  <si>
    <t>L0005</t>
  </si>
  <si>
    <t>mecze o miejsca I-XII</t>
  </si>
  <si>
    <t>1. z gr. 1</t>
  </si>
  <si>
    <t>1. z gr. 3</t>
  </si>
  <si>
    <t>2. z gr. 6</t>
  </si>
  <si>
    <t>1. z gr. 2</t>
  </si>
  <si>
    <t>2. z gr. 5</t>
  </si>
  <si>
    <t>2. z gr. 4</t>
  </si>
  <si>
    <t>2. z gr. 3</t>
  </si>
  <si>
    <t>2. z gr. 2</t>
  </si>
  <si>
    <t>1. z gr. 5</t>
  </si>
  <si>
    <t>2. z gr. 1</t>
  </si>
  <si>
    <t>1. z gr. 4</t>
  </si>
  <si>
    <t>1. z gr. 6</t>
  </si>
  <si>
    <t>mecz o III miejsce</t>
  </si>
  <si>
    <t>4.</t>
  </si>
  <si>
    <t>3.</t>
  </si>
  <si>
    <t>o 3 miejsce</t>
  </si>
  <si>
    <t>Runners Up</t>
  </si>
  <si>
    <t>N0002</t>
  </si>
  <si>
    <t>W0014</t>
  </si>
  <si>
    <t>2-4</t>
  </si>
  <si>
    <t>1-4</t>
  </si>
  <si>
    <t>B0021</t>
  </si>
  <si>
    <t>3-4</t>
  </si>
  <si>
    <t>G0015</t>
  </si>
  <si>
    <t>K0012</t>
  </si>
  <si>
    <t>S0020</t>
  </si>
  <si>
    <t>O0004</t>
  </si>
  <si>
    <t>M0008</t>
  </si>
  <si>
    <t>K0038</t>
  </si>
  <si>
    <t>G0017</t>
  </si>
  <si>
    <t>S0040</t>
  </si>
  <si>
    <t>mecze o miejsca I - VI</t>
  </si>
  <si>
    <t>Kobiet</t>
  </si>
  <si>
    <t>2-5</t>
  </si>
  <si>
    <t>4-5</t>
  </si>
  <si>
    <t>S0019</t>
  </si>
  <si>
    <t>4-2</t>
  </si>
  <si>
    <t>5-1</t>
  </si>
  <si>
    <t>4-1</t>
  </si>
  <si>
    <t>5-3</t>
  </si>
  <si>
    <t>Old Boys</t>
  </si>
  <si>
    <t>B0009</t>
  </si>
  <si>
    <t>O0001</t>
  </si>
  <si>
    <t>K0003</t>
  </si>
  <si>
    <t>P0023</t>
  </si>
  <si>
    <t>Mecz o I miejsce</t>
  </si>
  <si>
    <t>Mecz o III miejsce</t>
  </si>
  <si>
    <t>Open</t>
  </si>
  <si>
    <t>I0002</t>
  </si>
  <si>
    <t>J0001</t>
  </si>
  <si>
    <t xml:space="preserve">  </t>
  </si>
  <si>
    <t>Gra</t>
  </si>
  <si>
    <t>Gra podwójna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</si>
</sst>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000"/>
    <numFmt numFmtId="166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color indexed="10"/>
      <name val="Times New Roman CE"/>
      <family val="1"/>
    </font>
    <font>
      <sz val="10"/>
      <name val="Times New Roman CE"/>
      <family val="0"/>
    </font>
    <font>
      <sz val="10"/>
      <color indexed="10"/>
      <name val="Times New Roman CE"/>
      <family val="1"/>
    </font>
    <font>
      <sz val="8"/>
      <name val="Tahoma"/>
      <family val="2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34" borderId="18" xfId="0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35" borderId="30" xfId="0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35" borderId="31" xfId="0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37" borderId="32" xfId="0" applyFill="1" applyBorder="1" applyAlignment="1" applyProtection="1">
      <alignment vertical="center"/>
      <protection/>
    </xf>
    <xf numFmtId="0" fontId="0" fillId="37" borderId="33" xfId="0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35" borderId="36" xfId="0" applyFill="1" applyBorder="1" applyAlignment="1" applyProtection="1">
      <alignment vertical="center"/>
      <protection/>
    </xf>
    <xf numFmtId="0" fontId="0" fillId="35" borderId="37" xfId="0" applyFill="1" applyBorder="1" applyAlignment="1" applyProtection="1">
      <alignment vertical="center"/>
      <protection/>
    </xf>
    <xf numFmtId="0" fontId="0" fillId="37" borderId="38" xfId="0" applyFill="1" applyBorder="1" applyAlignment="1" applyProtection="1">
      <alignment vertical="center"/>
      <protection/>
    </xf>
    <xf numFmtId="0" fontId="0" fillId="37" borderId="39" xfId="0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 quotePrefix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35" borderId="42" xfId="0" applyFill="1" applyBorder="1" applyAlignment="1" applyProtection="1">
      <alignment vertical="center"/>
      <protection/>
    </xf>
    <xf numFmtId="0" fontId="0" fillId="35" borderId="43" xfId="0" applyFill="1" applyBorder="1" applyAlignment="1" applyProtection="1">
      <alignment vertical="center"/>
      <protection/>
    </xf>
    <xf numFmtId="0" fontId="0" fillId="37" borderId="44" xfId="0" applyFill="1" applyBorder="1" applyAlignment="1" applyProtection="1">
      <alignment vertical="center"/>
      <protection/>
    </xf>
    <xf numFmtId="0" fontId="0" fillId="37" borderId="45" xfId="0" applyFill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35" borderId="28" xfId="0" applyFont="1" applyFill="1" applyBorder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2" fillId="35" borderId="21" xfId="0" applyFont="1" applyFill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3" borderId="37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left"/>
    </xf>
    <xf numFmtId="0" fontId="2" fillId="0" borderId="39" xfId="0" applyFont="1" applyBorder="1" applyAlignment="1" applyProtection="1">
      <alignment vertical="center"/>
      <protection locked="0"/>
    </xf>
    <xf numFmtId="0" fontId="0" fillId="0" borderId="52" xfId="0" applyBorder="1" applyAlignment="1">
      <alignment vertical="center"/>
    </xf>
    <xf numFmtId="0" fontId="2" fillId="0" borderId="39" xfId="0" applyFont="1" applyBorder="1" applyAlignment="1">
      <alignment horizontal="right"/>
    </xf>
    <xf numFmtId="0" fontId="2" fillId="0" borderId="54" xfId="0" applyFont="1" applyBorder="1" applyAlignment="1">
      <alignment horizontal="center" vertical="center"/>
    </xf>
    <xf numFmtId="0" fontId="2" fillId="39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22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22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36" borderId="0" xfId="0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0" fillId="34" borderId="37" xfId="0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58" xfId="0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0" fillId="37" borderId="38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37" borderId="44" xfId="0" applyFill="1" applyBorder="1" applyAlignment="1" applyProtection="1">
      <alignment horizontal="center" vertical="center"/>
      <protection/>
    </xf>
    <xf numFmtId="0" fontId="0" fillId="37" borderId="59" xfId="0" applyFill="1" applyBorder="1" applyAlignment="1" applyProtection="1">
      <alignment horizontal="center" vertical="center"/>
      <protection/>
    </xf>
    <xf numFmtId="0" fontId="2" fillId="35" borderId="60" xfId="0" applyFont="1" applyFill="1" applyBorder="1" applyAlignment="1" applyProtection="1">
      <alignment vertical="center"/>
      <protection/>
    </xf>
    <xf numFmtId="0" fontId="2" fillId="35" borderId="61" xfId="0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55" xfId="0" applyFont="1" applyBorder="1" applyAlignment="1" applyProtection="1">
      <alignment horizontal="centerContinuous" vertical="center"/>
      <protection/>
    </xf>
    <xf numFmtId="0" fontId="2" fillId="0" borderId="62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 quotePrefix="1">
      <alignment horizontal="right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0" fillId="35" borderId="31" xfId="0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58" xfId="0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5" borderId="36" xfId="0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0" fillId="37" borderId="38" xfId="0" applyFill="1" applyBorder="1" applyAlignment="1" applyProtection="1">
      <alignment horizontal="center"/>
      <protection/>
    </xf>
    <xf numFmtId="0" fontId="0" fillId="37" borderId="39" xfId="0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7" borderId="44" xfId="0" applyFill="1" applyBorder="1" applyAlignment="1" applyProtection="1">
      <alignment horizontal="center"/>
      <protection/>
    </xf>
    <xf numFmtId="0" fontId="0" fillId="37" borderId="59" xfId="0" applyFill="1" applyBorder="1" applyAlignment="1" applyProtection="1">
      <alignment horizontal="center"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37" borderId="45" xfId="0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64" xfId="0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0" fontId="0" fillId="0" borderId="46" xfId="0" applyBorder="1" applyAlignment="1" applyProtection="1">
      <alignment/>
      <protection/>
    </xf>
    <xf numFmtId="0" fontId="0" fillId="35" borderId="42" xfId="0" applyFill="1" applyBorder="1" applyAlignment="1" applyProtection="1">
      <alignment/>
      <protection/>
    </xf>
    <xf numFmtId="0" fontId="0" fillId="35" borderId="43" xfId="0" applyFill="1" applyBorder="1" applyAlignment="1" applyProtection="1">
      <alignment/>
      <protection/>
    </xf>
    <xf numFmtId="0" fontId="2" fillId="0" borderId="0" xfId="0" applyFont="1" applyBorder="1" applyAlignment="1" applyProtection="1" quotePrefix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 locked="0"/>
    </xf>
    <xf numFmtId="0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6" borderId="34" xfId="0" applyFill="1" applyBorder="1" applyAlignment="1">
      <alignment horizontal="right" vertical="center"/>
    </xf>
    <xf numFmtId="0" fontId="0" fillId="36" borderId="54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52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34" borderId="66" xfId="0" applyFill="1" applyBorder="1" applyAlignment="1">
      <alignment horizontal="right"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0" fillId="34" borderId="23" xfId="0" applyFill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1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3" xfId="0" applyFont="1" applyBorder="1" applyAlignment="1">
      <alignment vertical="center"/>
    </xf>
    <xf numFmtId="0" fontId="0" fillId="36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53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2" fillId="0" borderId="5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5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0" fillId="37" borderId="32" xfId="0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5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0" fontId="0" fillId="0" borderId="71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35" borderId="51" xfId="0" applyNumberFormat="1" applyFont="1" applyFill="1" applyBorder="1" applyAlignment="1" applyProtection="1">
      <alignment horizontal="center" vertical="center" wrapText="1"/>
      <protection/>
    </xf>
    <xf numFmtId="0" fontId="2" fillId="35" borderId="54" xfId="0" applyNumberFormat="1" applyFont="1" applyFill="1" applyBorder="1" applyAlignment="1" applyProtection="1">
      <alignment horizontal="center" vertical="center" wrapText="1"/>
      <protection/>
    </xf>
    <xf numFmtId="0" fontId="2" fillId="35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0" fillId="37" borderId="32" xfId="0" applyFill="1" applyBorder="1" applyAlignment="1" applyProtection="1">
      <alignment horizontal="center"/>
      <protection/>
    </xf>
    <xf numFmtId="0" fontId="0" fillId="37" borderId="33" xfId="0" applyFill="1" applyBorder="1" applyAlignment="1" applyProtection="1">
      <alignment horizontal="center"/>
      <protection/>
    </xf>
    <xf numFmtId="0" fontId="2" fillId="35" borderId="28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35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BITEK\AppData\Local\Opera\Opera\temporary_downloads\72%20GP%20Vict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gry"/>
      <sheetName val="plan gier"/>
      <sheetName val="grup-puch"/>
      <sheetName val="puch"/>
      <sheetName val="tabelki"/>
      <sheetName val="drabinki"/>
      <sheetName val="sędziowie"/>
      <sheetName val="zawodnic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Moduł1"/>
      <sheetName val="Moduł2"/>
    </sheetNames>
    <sheetDataSet>
      <sheetData sheetId="0">
        <row r="2">
          <cell r="D2" t="str">
            <v>72 Grand Prix Victora</v>
          </cell>
        </row>
        <row r="3">
          <cell r="D3" t="str">
            <v>Mielec,  21-04-2013 r.</v>
          </cell>
          <cell r="I3" t="str">
            <v>Runners Up</v>
          </cell>
        </row>
        <row r="4">
          <cell r="I4" t="str">
            <v>Victorek</v>
          </cell>
        </row>
        <row r="5">
          <cell r="I5" t="str">
            <v>Old Boys</v>
          </cell>
        </row>
        <row r="6">
          <cell r="I6" t="str">
            <v>Kobiet</v>
          </cell>
        </row>
        <row r="7">
          <cell r="I7" t="str">
            <v>Open</v>
          </cell>
        </row>
        <row r="8">
          <cell r="I8" t="str">
            <v>Gra podwójna</v>
          </cell>
        </row>
      </sheetData>
      <sheetData sheetId="2">
        <row r="1">
          <cell r="C1" t="str">
            <v>Boisko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 t="str">
            <v>Nr gry</v>
          </cell>
        </row>
        <row r="2">
          <cell r="A2" t="str">
            <v>Nr </v>
          </cell>
          <cell r="D2" t="str">
            <v>Drukowanie prorokółów</v>
          </cell>
          <cell r="N2">
            <v>1</v>
          </cell>
          <cell r="X2" t="str">
            <v>*</v>
          </cell>
        </row>
        <row r="3">
          <cell r="A3" t="str">
            <v>meczu</v>
          </cell>
          <cell r="S3">
            <v>41392</v>
          </cell>
          <cell r="X3" t="str">
            <v>nr gry</v>
          </cell>
          <cell r="Z3" t="str">
            <v>zawodnicy</v>
          </cell>
          <cell r="AD3" t="str">
            <v>awans</v>
          </cell>
          <cell r="AF3" t="str">
            <v>rezultat</v>
          </cell>
          <cell r="AI3" t="str">
            <v>1 set</v>
          </cell>
          <cell r="AK3" t="str">
            <v>2 set</v>
          </cell>
          <cell r="AM3" t="str">
            <v>3 set</v>
          </cell>
        </row>
        <row r="4">
          <cell r="B4">
            <v>1</v>
          </cell>
          <cell r="C4" t="str">
            <v>dzień turnieju.</v>
          </cell>
          <cell r="I4" t="str">
            <v>Nr meczu</v>
          </cell>
          <cell r="N4" t="str">
            <v>Godz.</v>
          </cell>
          <cell r="R4" t="str">
            <v>S. prow.</v>
          </cell>
          <cell r="AF4" t="str">
            <v>wygrany</v>
          </cell>
          <cell r="AG4" t="str">
            <v>przegrany</v>
          </cell>
        </row>
        <row r="5">
          <cell r="B5" t="str">
            <v>Boisko</v>
          </cell>
          <cell r="C5" t="str">
            <v>Gra</v>
          </cell>
          <cell r="I5">
            <v>1</v>
          </cell>
          <cell r="N5" t="str">
            <v>rozp.</v>
          </cell>
          <cell r="P5" t="str">
            <v>zak.</v>
          </cell>
          <cell r="R5" t="str">
            <v>S. serw.</v>
          </cell>
        </row>
        <row r="6">
          <cell r="A6">
            <v>1</v>
          </cell>
          <cell r="C6" t="str">
            <v>Victorek</v>
          </cell>
          <cell r="H6">
            <v>21</v>
          </cell>
          <cell r="I6">
            <v>5</v>
          </cell>
          <cell r="J6">
            <v>21</v>
          </cell>
          <cell r="K6">
            <v>2</v>
          </cell>
          <cell r="R6">
            <v>0</v>
          </cell>
          <cell r="S6" t="str">
            <v>godz.9:00</v>
          </cell>
          <cell r="X6">
            <v>1</v>
          </cell>
          <cell r="Y6" t="str">
            <v>Victorek</v>
          </cell>
          <cell r="Z6" t="str">
            <v>M0026</v>
          </cell>
          <cell r="AA6" t="str">
            <v/>
          </cell>
          <cell r="AB6" t="str">
            <v>S0038</v>
          </cell>
          <cell r="AC6" t="str">
            <v/>
          </cell>
          <cell r="AD6" t="str">
            <v>M0026</v>
          </cell>
          <cell r="AE6" t="str">
            <v/>
          </cell>
          <cell r="AF6" t="str">
            <v>21:5,21:2</v>
          </cell>
          <cell r="AG6" t="str">
            <v>5:21,2:21</v>
          </cell>
          <cell r="AH6" t="str">
            <v/>
          </cell>
          <cell r="AI6">
            <v>21</v>
          </cell>
          <cell r="AJ6">
            <v>5</v>
          </cell>
          <cell r="AK6">
            <v>21</v>
          </cell>
          <cell r="AL6">
            <v>2</v>
          </cell>
          <cell r="AM6">
            <v>0</v>
          </cell>
          <cell r="AN6">
            <v>0</v>
          </cell>
        </row>
        <row r="7">
          <cell r="A7" t="str">
            <v/>
          </cell>
          <cell r="B7" t="str">
            <v>Wojciech MACHAJ (Mielec)</v>
          </cell>
          <cell r="H7" t="str">
            <v>M0026</v>
          </cell>
          <cell r="K7" t="str">
            <v>S0038</v>
          </cell>
          <cell r="N7" t="str">
            <v>Kamila SZEWC (Żupawa)</v>
          </cell>
        </row>
        <row r="8">
          <cell r="A8" t="str">
            <v/>
          </cell>
          <cell r="B8" t="str">
            <v/>
          </cell>
          <cell r="H8" t="str">
            <v/>
          </cell>
          <cell r="K8" t="str">
            <v/>
          </cell>
          <cell r="N8" t="str">
            <v/>
          </cell>
        </row>
        <row r="10">
          <cell r="B10" t="str">
            <v>zwycięzca(cy): 21:5,21:2</v>
          </cell>
          <cell r="K10" t="str">
            <v/>
          </cell>
        </row>
        <row r="11">
          <cell r="B11">
            <v>2</v>
          </cell>
          <cell r="C11" t="str">
            <v>dzień turnieju.</v>
          </cell>
          <cell r="I11" t="str">
            <v>Nr meczu</v>
          </cell>
          <cell r="N11" t="str">
            <v>Godz.</v>
          </cell>
          <cell r="R11" t="str">
            <v>S. prow.</v>
          </cell>
          <cell r="AF11" t="str">
            <v>wygrany</v>
          </cell>
          <cell r="AG11" t="str">
            <v>przegrany</v>
          </cell>
        </row>
        <row r="12">
          <cell r="B12" t="str">
            <v>Boisko</v>
          </cell>
          <cell r="C12" t="str">
            <v>Gra</v>
          </cell>
          <cell r="I12">
            <v>2</v>
          </cell>
          <cell r="N12" t="str">
            <v>rozp.</v>
          </cell>
          <cell r="P12" t="str">
            <v>zak.</v>
          </cell>
          <cell r="R12" t="str">
            <v>S. serw.</v>
          </cell>
        </row>
        <row r="13">
          <cell r="A13">
            <v>2</v>
          </cell>
          <cell r="C13" t="str">
            <v>Victorek</v>
          </cell>
          <cell r="H13">
            <v>21</v>
          </cell>
          <cell r="I13">
            <v>7</v>
          </cell>
          <cell r="J13">
            <v>21</v>
          </cell>
          <cell r="K13">
            <v>12</v>
          </cell>
          <cell r="R13">
            <v>0</v>
          </cell>
          <cell r="S13" t="str">
            <v>godz.9:00</v>
          </cell>
          <cell r="X13">
            <v>2</v>
          </cell>
          <cell r="Y13" t="str">
            <v>Victorek</v>
          </cell>
          <cell r="Z13" t="str">
            <v>W0013</v>
          </cell>
          <cell r="AA13" t="str">
            <v/>
          </cell>
          <cell r="AB13" t="str">
            <v>Z0006</v>
          </cell>
          <cell r="AC13" t="str">
            <v/>
          </cell>
          <cell r="AD13" t="str">
            <v>W0013</v>
          </cell>
          <cell r="AE13" t="str">
            <v/>
          </cell>
          <cell r="AF13" t="str">
            <v>21:7,21:12</v>
          </cell>
          <cell r="AG13" t="str">
            <v>7:21,12:21</v>
          </cell>
          <cell r="AH13" t="str">
            <v/>
          </cell>
          <cell r="AI13">
            <v>21</v>
          </cell>
          <cell r="AJ13">
            <v>7</v>
          </cell>
          <cell r="AK13">
            <v>21</v>
          </cell>
          <cell r="AL13">
            <v>12</v>
          </cell>
          <cell r="AM13">
            <v>0</v>
          </cell>
          <cell r="AN13">
            <v>0</v>
          </cell>
        </row>
        <row r="14">
          <cell r="A14" t="str">
            <v/>
          </cell>
          <cell r="B14" t="str">
            <v>Olaf WARNECKI (Rzeszów)</v>
          </cell>
          <cell r="H14" t="str">
            <v>W0013</v>
          </cell>
          <cell r="K14" t="str">
            <v>Z0006</v>
          </cell>
          <cell r="N14" t="str">
            <v>Wiloetta ZIOŁO (Żupawa)</v>
          </cell>
        </row>
        <row r="15">
          <cell r="A15" t="str">
            <v/>
          </cell>
          <cell r="B15" t="str">
            <v/>
          </cell>
          <cell r="H15" t="str">
            <v/>
          </cell>
          <cell r="K15" t="str">
            <v/>
          </cell>
          <cell r="N15" t="str">
            <v/>
          </cell>
        </row>
        <row r="17">
          <cell r="B17" t="str">
            <v>zwycięzca(cy): 21:7,21:12</v>
          </cell>
          <cell r="K17" t="str">
            <v/>
          </cell>
        </row>
        <row r="18">
          <cell r="B18">
            <v>3</v>
          </cell>
          <cell r="C18" t="str">
            <v>dzień turnieju.</v>
          </cell>
          <cell r="I18" t="str">
            <v>Nr meczu</v>
          </cell>
          <cell r="N18" t="str">
            <v>Godz.</v>
          </cell>
          <cell r="R18" t="str">
            <v>S. prow.</v>
          </cell>
          <cell r="AF18" t="str">
            <v>wygrany</v>
          </cell>
          <cell r="AG18" t="str">
            <v>przegrany</v>
          </cell>
        </row>
        <row r="19">
          <cell r="B19" t="str">
            <v>Boisko</v>
          </cell>
          <cell r="C19" t="str">
            <v>Gra</v>
          </cell>
          <cell r="I19">
            <v>3</v>
          </cell>
          <cell r="N19" t="str">
            <v>rozp.</v>
          </cell>
          <cell r="P19" t="str">
            <v>zak.</v>
          </cell>
          <cell r="R19" t="str">
            <v>S. serw.</v>
          </cell>
        </row>
        <row r="20">
          <cell r="A20">
            <v>3</v>
          </cell>
          <cell r="C20" t="str">
            <v>Victorek</v>
          </cell>
          <cell r="H20">
            <v>21</v>
          </cell>
          <cell r="I20">
            <v>4</v>
          </cell>
          <cell r="J20">
            <v>21</v>
          </cell>
          <cell r="K20">
            <v>1</v>
          </cell>
          <cell r="R20">
            <v>0</v>
          </cell>
          <cell r="S20" t="str">
            <v>godz.9:00</v>
          </cell>
          <cell r="X20">
            <v>3</v>
          </cell>
          <cell r="Y20" t="str">
            <v>Victorek</v>
          </cell>
          <cell r="Z20" t="str">
            <v>S0035</v>
          </cell>
          <cell r="AA20" t="str">
            <v/>
          </cell>
          <cell r="AB20" t="str">
            <v>K0041</v>
          </cell>
          <cell r="AC20" t="str">
            <v/>
          </cell>
          <cell r="AD20" t="str">
            <v>S0035</v>
          </cell>
          <cell r="AE20" t="str">
            <v/>
          </cell>
          <cell r="AF20" t="str">
            <v>21:4,21:1</v>
          </cell>
          <cell r="AG20" t="str">
            <v>4:21,1:21</v>
          </cell>
          <cell r="AH20" t="str">
            <v/>
          </cell>
          <cell r="AI20">
            <v>21</v>
          </cell>
          <cell r="AJ20">
            <v>4</v>
          </cell>
          <cell r="AK20">
            <v>21</v>
          </cell>
          <cell r="AL20">
            <v>1</v>
          </cell>
          <cell r="AM20">
            <v>0</v>
          </cell>
          <cell r="AN20">
            <v>0</v>
          </cell>
        </row>
        <row r="21">
          <cell r="A21" t="str">
            <v/>
          </cell>
          <cell r="B21" t="str">
            <v>Kuba SITEK (Rzeszów)</v>
          </cell>
          <cell r="H21" t="str">
            <v>S0035</v>
          </cell>
          <cell r="K21" t="str">
            <v>K0041</v>
          </cell>
          <cell r="N21" t="str">
            <v>Kamila KOWAL (Żupawa)</v>
          </cell>
        </row>
        <row r="22">
          <cell r="A22" t="str">
            <v/>
          </cell>
          <cell r="B22" t="str">
            <v/>
          </cell>
          <cell r="H22" t="str">
            <v/>
          </cell>
          <cell r="K22" t="str">
            <v/>
          </cell>
          <cell r="N22" t="str">
            <v/>
          </cell>
        </row>
        <row r="24">
          <cell r="B24" t="str">
            <v>zwycięzca(cy): 21:4,21:1</v>
          </cell>
          <cell r="K24" t="str">
            <v/>
          </cell>
        </row>
        <row r="25">
          <cell r="B25">
            <v>4</v>
          </cell>
          <cell r="C25" t="str">
            <v>dzień turnieju.</v>
          </cell>
          <cell r="I25" t="str">
            <v>Nr meczu</v>
          </cell>
          <cell r="N25" t="str">
            <v>Godz.</v>
          </cell>
          <cell r="R25" t="str">
            <v>S. prow.</v>
          </cell>
          <cell r="AF25" t="str">
            <v>wygrany</v>
          </cell>
          <cell r="AG25" t="str">
            <v>przegrany</v>
          </cell>
        </row>
        <row r="26">
          <cell r="B26" t="str">
            <v>Boisko</v>
          </cell>
          <cell r="C26" t="str">
            <v>Gra</v>
          </cell>
          <cell r="I26">
            <v>4</v>
          </cell>
          <cell r="N26" t="str">
            <v>rozp.</v>
          </cell>
          <cell r="P26" t="str">
            <v>zak.</v>
          </cell>
          <cell r="R26" t="str">
            <v>S. serw.</v>
          </cell>
        </row>
        <row r="27">
          <cell r="A27">
            <v>4</v>
          </cell>
          <cell r="C27" t="str">
            <v>Victorek</v>
          </cell>
          <cell r="H27">
            <v>21</v>
          </cell>
          <cell r="I27">
            <v>19</v>
          </cell>
          <cell r="J27">
            <v>21</v>
          </cell>
          <cell r="K27">
            <v>12</v>
          </cell>
          <cell r="R27">
            <v>0</v>
          </cell>
          <cell r="S27" t="str">
            <v>godz.9:00</v>
          </cell>
          <cell r="X27">
            <v>4</v>
          </cell>
          <cell r="Y27" t="str">
            <v>Victorek</v>
          </cell>
          <cell r="Z27" t="str">
            <v>O0006</v>
          </cell>
          <cell r="AA27" t="str">
            <v/>
          </cell>
          <cell r="AB27" t="str">
            <v>M0029</v>
          </cell>
          <cell r="AC27" t="str">
            <v/>
          </cell>
          <cell r="AD27" t="str">
            <v>O0006</v>
          </cell>
          <cell r="AE27" t="str">
            <v/>
          </cell>
          <cell r="AF27" t="str">
            <v>21:19,21:12</v>
          </cell>
          <cell r="AG27" t="str">
            <v>19:21,12:21</v>
          </cell>
          <cell r="AH27" t="str">
            <v/>
          </cell>
          <cell r="AI27">
            <v>21</v>
          </cell>
          <cell r="AJ27">
            <v>19</v>
          </cell>
          <cell r="AK27">
            <v>21</v>
          </cell>
          <cell r="AL27">
            <v>12</v>
          </cell>
          <cell r="AM27">
            <v>0</v>
          </cell>
          <cell r="AN27">
            <v>0</v>
          </cell>
        </row>
        <row r="28">
          <cell r="A28" t="str">
            <v/>
          </cell>
          <cell r="B28" t="str">
            <v>Jessica ORZECHOWICZ (Tarnowiec)</v>
          </cell>
          <cell r="H28" t="str">
            <v>O0006</v>
          </cell>
          <cell r="K28" t="str">
            <v>M0029</v>
          </cell>
          <cell r="N28" t="str">
            <v>Mateusz MYSZKA (Żupawa)</v>
          </cell>
        </row>
        <row r="29">
          <cell r="A29" t="str">
            <v/>
          </cell>
          <cell r="B29" t="str">
            <v/>
          </cell>
          <cell r="H29" t="str">
            <v/>
          </cell>
          <cell r="K29" t="str">
            <v/>
          </cell>
          <cell r="N29" t="str">
            <v/>
          </cell>
        </row>
        <row r="31">
          <cell r="B31" t="str">
            <v>zwycięzca(cy): 21:19,21:12</v>
          </cell>
          <cell r="K31" t="str">
            <v/>
          </cell>
        </row>
        <row r="32">
          <cell r="B32">
            <v>5</v>
          </cell>
          <cell r="C32" t="str">
            <v>dzień turnieju.</v>
          </cell>
          <cell r="I32" t="str">
            <v>Nr meczu</v>
          </cell>
          <cell r="N32" t="str">
            <v>Godz.</v>
          </cell>
          <cell r="R32" t="str">
            <v>S. prow.</v>
          </cell>
          <cell r="AF32" t="str">
            <v>wygrany</v>
          </cell>
          <cell r="AG32" t="str">
            <v>przegrany</v>
          </cell>
        </row>
        <row r="33">
          <cell r="B33" t="str">
            <v>Boisko</v>
          </cell>
          <cell r="C33" t="str">
            <v>Gra</v>
          </cell>
          <cell r="I33">
            <v>5</v>
          </cell>
          <cell r="N33" t="str">
            <v>rozp.</v>
          </cell>
          <cell r="P33" t="str">
            <v>zak.</v>
          </cell>
          <cell r="R33" t="str">
            <v>S. serw.</v>
          </cell>
        </row>
        <row r="34">
          <cell r="A34">
            <v>5</v>
          </cell>
          <cell r="C34" t="str">
            <v>Victorek</v>
          </cell>
          <cell r="H34">
            <v>10</v>
          </cell>
          <cell r="I34">
            <v>21</v>
          </cell>
          <cell r="J34">
            <v>3</v>
          </cell>
          <cell r="K34">
            <v>21</v>
          </cell>
          <cell r="R34">
            <v>0</v>
          </cell>
          <cell r="S34" t="str">
            <v>godz.9:20</v>
          </cell>
          <cell r="X34">
            <v>5</v>
          </cell>
          <cell r="Y34" t="str">
            <v>Victorek</v>
          </cell>
          <cell r="Z34" t="str">
            <v>H0006</v>
          </cell>
          <cell r="AA34" t="str">
            <v/>
          </cell>
          <cell r="AB34" t="str">
            <v>B0020</v>
          </cell>
          <cell r="AC34" t="str">
            <v/>
          </cell>
          <cell r="AD34" t="str">
            <v>B0020</v>
          </cell>
          <cell r="AE34" t="str">
            <v/>
          </cell>
          <cell r="AF34" t="str">
            <v>21:10,21:3</v>
          </cell>
          <cell r="AG34" t="str">
            <v>10:21,3:21</v>
          </cell>
          <cell r="AH34" t="str">
            <v/>
          </cell>
          <cell r="AI34">
            <v>10</v>
          </cell>
          <cell r="AJ34">
            <v>21</v>
          </cell>
          <cell r="AK34">
            <v>3</v>
          </cell>
          <cell r="AL34">
            <v>21</v>
          </cell>
          <cell r="AM34">
            <v>0</v>
          </cell>
          <cell r="AN34">
            <v>0</v>
          </cell>
        </row>
        <row r="35">
          <cell r="A35" t="str">
            <v/>
          </cell>
          <cell r="B35" t="str">
            <v>Natalia HAŁATA (Mielec)</v>
          </cell>
          <cell r="H35" t="str">
            <v>H0006</v>
          </cell>
          <cell r="K35" t="str">
            <v>B0020</v>
          </cell>
          <cell r="N35" t="str">
            <v>Klaudia BUKOWIŃSKA (Dubiecko)</v>
          </cell>
        </row>
        <row r="36">
          <cell r="A36" t="str">
            <v/>
          </cell>
          <cell r="B36" t="str">
            <v/>
          </cell>
          <cell r="H36" t="str">
            <v/>
          </cell>
          <cell r="K36" t="str">
            <v/>
          </cell>
          <cell r="N36" t="str">
            <v/>
          </cell>
        </row>
        <row r="38">
          <cell r="B38" t="str">
            <v/>
          </cell>
          <cell r="K38" t="str">
            <v>zwycięzca(cy): 21:10,21:3</v>
          </cell>
        </row>
        <row r="39">
          <cell r="B39">
            <v>6</v>
          </cell>
          <cell r="C39" t="str">
            <v>dzień turnieju.</v>
          </cell>
          <cell r="I39" t="str">
            <v>Nr meczu</v>
          </cell>
          <cell r="N39" t="str">
            <v>Godz.</v>
          </cell>
          <cell r="R39" t="str">
            <v>S. prow.</v>
          </cell>
          <cell r="AF39" t="str">
            <v>wygrany</v>
          </cell>
          <cell r="AG39" t="str">
            <v>przegrany</v>
          </cell>
        </row>
        <row r="40">
          <cell r="B40" t="str">
            <v>Boisko</v>
          </cell>
          <cell r="C40" t="str">
            <v>Gra</v>
          </cell>
          <cell r="I40">
            <v>6</v>
          </cell>
          <cell r="N40" t="str">
            <v>rozp.</v>
          </cell>
          <cell r="P40" t="str">
            <v>zak.</v>
          </cell>
          <cell r="R40" t="str">
            <v>S. serw.</v>
          </cell>
        </row>
        <row r="41">
          <cell r="A41">
            <v>6</v>
          </cell>
          <cell r="C41" t="str">
            <v>Victorek</v>
          </cell>
          <cell r="H41">
            <v>21</v>
          </cell>
          <cell r="I41">
            <v>0</v>
          </cell>
          <cell r="J41">
            <v>21</v>
          </cell>
          <cell r="K41">
            <v>5</v>
          </cell>
          <cell r="R41">
            <v>0</v>
          </cell>
          <cell r="S41" t="str">
            <v>godz.9:20</v>
          </cell>
          <cell r="X41">
            <v>6</v>
          </cell>
          <cell r="Y41" t="str">
            <v>Victorek</v>
          </cell>
          <cell r="Z41" t="str">
            <v>D0008</v>
          </cell>
          <cell r="AA41" t="str">
            <v/>
          </cell>
          <cell r="AB41" t="str">
            <v>L0005</v>
          </cell>
          <cell r="AC41" t="str">
            <v/>
          </cell>
          <cell r="AD41" t="str">
            <v>D0008</v>
          </cell>
          <cell r="AE41" t="str">
            <v/>
          </cell>
          <cell r="AF41" t="str">
            <v>21:0,21:5</v>
          </cell>
          <cell r="AG41" t="str">
            <v>0:21,5:21</v>
          </cell>
          <cell r="AH41" t="str">
            <v/>
          </cell>
          <cell r="AI41">
            <v>21</v>
          </cell>
          <cell r="AJ41">
            <v>0</v>
          </cell>
          <cell r="AK41">
            <v>21</v>
          </cell>
          <cell r="AL41">
            <v>5</v>
          </cell>
          <cell r="AM41">
            <v>0</v>
          </cell>
          <cell r="AN41">
            <v>0</v>
          </cell>
        </row>
        <row r="42">
          <cell r="A42" t="str">
            <v/>
          </cell>
          <cell r="B42" t="str">
            <v>Patrycja DOMAŃSKA (Rzeszów)</v>
          </cell>
          <cell r="H42" t="str">
            <v>D0008</v>
          </cell>
          <cell r="K42" t="str">
            <v>L0005</v>
          </cell>
          <cell r="N42" t="str">
            <v>Izabela LASOTA (Żupawa)</v>
          </cell>
        </row>
        <row r="43">
          <cell r="A43" t="str">
            <v/>
          </cell>
          <cell r="B43" t="str">
            <v/>
          </cell>
          <cell r="H43" t="str">
            <v/>
          </cell>
          <cell r="K43" t="str">
            <v/>
          </cell>
          <cell r="N43" t="str">
            <v/>
          </cell>
        </row>
        <row r="45">
          <cell r="B45" t="str">
            <v>zwycięzca(cy): 21:0,21:5</v>
          </cell>
          <cell r="K45" t="str">
            <v/>
          </cell>
        </row>
        <row r="46">
          <cell r="B46">
            <v>7</v>
          </cell>
          <cell r="C46" t="str">
            <v>dzień turnieju.</v>
          </cell>
          <cell r="I46" t="str">
            <v>Nr meczu</v>
          </cell>
          <cell r="N46" t="str">
            <v>Godz.</v>
          </cell>
          <cell r="R46" t="str">
            <v>S. prow.</v>
          </cell>
          <cell r="AF46" t="str">
            <v>wygrany</v>
          </cell>
          <cell r="AG46" t="str">
            <v>przegrany</v>
          </cell>
        </row>
        <row r="47">
          <cell r="B47" t="str">
            <v>Boisko</v>
          </cell>
          <cell r="C47" t="str">
            <v>Gra</v>
          </cell>
          <cell r="I47">
            <v>7</v>
          </cell>
          <cell r="N47" t="str">
            <v>rozp.</v>
          </cell>
          <cell r="P47" t="str">
            <v>zak.</v>
          </cell>
          <cell r="R47" t="str">
            <v>S. serw.</v>
          </cell>
        </row>
        <row r="48">
          <cell r="A48">
            <v>7</v>
          </cell>
          <cell r="C48" t="str">
            <v>Victorek</v>
          </cell>
          <cell r="H48">
            <v>21</v>
          </cell>
          <cell r="I48">
            <v>11</v>
          </cell>
          <cell r="J48">
            <v>21</v>
          </cell>
          <cell r="K48">
            <v>7</v>
          </cell>
          <cell r="R48">
            <v>0</v>
          </cell>
          <cell r="S48" t="str">
            <v>godz.9:20</v>
          </cell>
          <cell r="X48">
            <v>7</v>
          </cell>
          <cell r="Y48" t="str">
            <v>Victorek</v>
          </cell>
          <cell r="Z48" t="str">
            <v>P0021</v>
          </cell>
          <cell r="AA48" t="str">
            <v/>
          </cell>
          <cell r="AB48" t="str">
            <v>S0038</v>
          </cell>
          <cell r="AC48" t="str">
            <v/>
          </cell>
          <cell r="AD48" t="str">
            <v>P0021</v>
          </cell>
          <cell r="AE48" t="str">
            <v/>
          </cell>
          <cell r="AF48" t="str">
            <v>21:11,21:7</v>
          </cell>
          <cell r="AG48" t="str">
            <v>11:21,7:21</v>
          </cell>
          <cell r="AH48" t="str">
            <v/>
          </cell>
          <cell r="AI48">
            <v>21</v>
          </cell>
          <cell r="AJ48">
            <v>11</v>
          </cell>
          <cell r="AK48">
            <v>21</v>
          </cell>
          <cell r="AL48">
            <v>7</v>
          </cell>
          <cell r="AM48">
            <v>0</v>
          </cell>
          <cell r="AN48">
            <v>0</v>
          </cell>
        </row>
        <row r="49">
          <cell r="A49" t="str">
            <v/>
          </cell>
          <cell r="B49" t="str">
            <v>Mikołaj POLAŃSKI (Rzeszów)</v>
          </cell>
          <cell r="H49" t="str">
            <v>P0021</v>
          </cell>
          <cell r="K49" t="str">
            <v>S0038</v>
          </cell>
          <cell r="N49" t="str">
            <v>Kamila SZEWC (Żupawa)</v>
          </cell>
        </row>
        <row r="50">
          <cell r="A50" t="str">
            <v/>
          </cell>
          <cell r="B50" t="str">
            <v/>
          </cell>
          <cell r="H50" t="str">
            <v/>
          </cell>
          <cell r="K50" t="str">
            <v/>
          </cell>
          <cell r="N50" t="str">
            <v/>
          </cell>
        </row>
        <row r="52">
          <cell r="B52" t="str">
            <v>zwycięzca(cy): 21:11,21:7</v>
          </cell>
          <cell r="K52" t="str">
            <v/>
          </cell>
        </row>
        <row r="53">
          <cell r="B53">
            <v>8</v>
          </cell>
          <cell r="C53" t="str">
            <v>dzień turnieju.</v>
          </cell>
          <cell r="I53" t="str">
            <v>Nr meczu</v>
          </cell>
          <cell r="N53" t="str">
            <v>Godz.</v>
          </cell>
          <cell r="R53" t="str">
            <v>S. prow.</v>
          </cell>
          <cell r="AF53" t="str">
            <v>wygrany</v>
          </cell>
          <cell r="AG53" t="str">
            <v>przegrany</v>
          </cell>
        </row>
        <row r="54">
          <cell r="B54" t="str">
            <v>Boisko</v>
          </cell>
          <cell r="C54" t="str">
            <v>Gra</v>
          </cell>
          <cell r="I54">
            <v>8</v>
          </cell>
          <cell r="N54" t="str">
            <v>rozp.</v>
          </cell>
          <cell r="P54" t="str">
            <v>zak.</v>
          </cell>
          <cell r="R54" t="str">
            <v>S. serw.</v>
          </cell>
        </row>
        <row r="55">
          <cell r="A55">
            <v>8</v>
          </cell>
          <cell r="C55" t="str">
            <v>Victorek</v>
          </cell>
          <cell r="H55">
            <v>21</v>
          </cell>
          <cell r="I55">
            <v>9</v>
          </cell>
          <cell r="J55">
            <v>21</v>
          </cell>
          <cell r="K55">
            <v>4</v>
          </cell>
          <cell r="R55">
            <v>0</v>
          </cell>
          <cell r="S55" t="str">
            <v>godz.9:20</v>
          </cell>
          <cell r="X55">
            <v>8</v>
          </cell>
          <cell r="Y55" t="str">
            <v>Victorek</v>
          </cell>
          <cell r="Z55" t="str">
            <v>R0017</v>
          </cell>
          <cell r="AA55" t="str">
            <v/>
          </cell>
          <cell r="AB55" t="str">
            <v>Z0006</v>
          </cell>
          <cell r="AC55" t="str">
            <v/>
          </cell>
          <cell r="AD55" t="str">
            <v>R0017</v>
          </cell>
          <cell r="AE55" t="str">
            <v/>
          </cell>
          <cell r="AF55" t="str">
            <v>21:9,21:4</v>
          </cell>
          <cell r="AG55" t="str">
            <v>9:21,4:21</v>
          </cell>
          <cell r="AH55" t="str">
            <v/>
          </cell>
          <cell r="AI55">
            <v>21</v>
          </cell>
          <cell r="AJ55">
            <v>9</v>
          </cell>
          <cell r="AK55">
            <v>21</v>
          </cell>
          <cell r="AL55">
            <v>4</v>
          </cell>
          <cell r="AM55">
            <v>0</v>
          </cell>
          <cell r="AN55">
            <v>0</v>
          </cell>
        </row>
        <row r="56">
          <cell r="A56" t="str">
            <v/>
          </cell>
          <cell r="B56" t="str">
            <v>Patryk RUSIN (Mielec)</v>
          </cell>
          <cell r="H56" t="str">
            <v>R0017</v>
          </cell>
          <cell r="K56" t="str">
            <v>Z0006</v>
          </cell>
          <cell r="N56" t="str">
            <v>Wiloetta ZIOŁO (Żupawa)</v>
          </cell>
        </row>
        <row r="57">
          <cell r="A57" t="str">
            <v/>
          </cell>
          <cell r="B57" t="str">
            <v/>
          </cell>
          <cell r="H57" t="str">
            <v/>
          </cell>
          <cell r="K57" t="str">
            <v/>
          </cell>
          <cell r="N57" t="str">
            <v/>
          </cell>
        </row>
        <row r="59">
          <cell r="B59" t="str">
            <v>zwycięzca(cy): 21:9,21:4</v>
          </cell>
          <cell r="K59" t="str">
            <v/>
          </cell>
        </row>
        <row r="60">
          <cell r="B60">
            <v>9</v>
          </cell>
          <cell r="C60" t="str">
            <v>dzień turnieju.</v>
          </cell>
          <cell r="I60" t="str">
            <v>Nr meczu</v>
          </cell>
          <cell r="N60" t="str">
            <v>Godz.</v>
          </cell>
          <cell r="R60" t="str">
            <v>S. prow.</v>
          </cell>
          <cell r="AF60" t="str">
            <v>wygrany</v>
          </cell>
          <cell r="AG60" t="str">
            <v>przegrany</v>
          </cell>
        </row>
        <row r="61">
          <cell r="B61" t="str">
            <v>Boisko</v>
          </cell>
          <cell r="C61" t="str">
            <v>Gra</v>
          </cell>
          <cell r="I61">
            <v>9</v>
          </cell>
          <cell r="N61" t="str">
            <v>rozp.</v>
          </cell>
          <cell r="P61" t="str">
            <v>zak.</v>
          </cell>
          <cell r="R61" t="str">
            <v>S. serw.</v>
          </cell>
        </row>
        <row r="62">
          <cell r="A62">
            <v>9</v>
          </cell>
          <cell r="C62" t="str">
            <v>Victorek</v>
          </cell>
          <cell r="H62">
            <v>16</v>
          </cell>
          <cell r="I62">
            <v>21</v>
          </cell>
          <cell r="J62">
            <v>21</v>
          </cell>
          <cell r="K62">
            <v>15</v>
          </cell>
          <cell r="L62">
            <v>19</v>
          </cell>
          <cell r="M62">
            <v>21</v>
          </cell>
          <cell r="R62">
            <v>0</v>
          </cell>
          <cell r="S62" t="str">
            <v>godz.9:40</v>
          </cell>
          <cell r="X62">
            <v>9</v>
          </cell>
          <cell r="Y62" t="str">
            <v>Victorek</v>
          </cell>
          <cell r="Z62" t="str">
            <v>S0037</v>
          </cell>
          <cell r="AA62" t="str">
            <v/>
          </cell>
          <cell r="AB62" t="str">
            <v>K0041</v>
          </cell>
          <cell r="AC62" t="str">
            <v/>
          </cell>
          <cell r="AD62" t="str">
            <v>K0041</v>
          </cell>
          <cell r="AE62" t="str">
            <v/>
          </cell>
          <cell r="AF62" t="str">
            <v>21:16,15:21,21:19</v>
          </cell>
          <cell r="AG62" t="str">
            <v>16:21,21:15,19:21</v>
          </cell>
          <cell r="AH62" t="str">
            <v/>
          </cell>
          <cell r="AI62">
            <v>16</v>
          </cell>
          <cell r="AJ62">
            <v>21</v>
          </cell>
          <cell r="AK62">
            <v>21</v>
          </cell>
          <cell r="AL62">
            <v>15</v>
          </cell>
          <cell r="AM62">
            <v>19</v>
          </cell>
          <cell r="AN62">
            <v>21</v>
          </cell>
        </row>
        <row r="63">
          <cell r="A63" t="str">
            <v/>
          </cell>
          <cell r="B63" t="str">
            <v>Anna SAWICKA (Tarnowiec)</v>
          </cell>
          <cell r="H63" t="str">
            <v>S0037</v>
          </cell>
          <cell r="K63" t="str">
            <v>K0041</v>
          </cell>
          <cell r="N63" t="str">
            <v>Kamila KOWAL (Żupawa)</v>
          </cell>
        </row>
        <row r="64">
          <cell r="A64" t="str">
            <v/>
          </cell>
          <cell r="B64" t="str">
            <v/>
          </cell>
          <cell r="H64" t="str">
            <v/>
          </cell>
          <cell r="K64" t="str">
            <v/>
          </cell>
          <cell r="N64" t="str">
            <v/>
          </cell>
        </row>
        <row r="66">
          <cell r="B66" t="str">
            <v/>
          </cell>
          <cell r="K66" t="str">
            <v>zwycięzca(cy): 21:16,15:21,21:19</v>
          </cell>
        </row>
        <row r="67">
          <cell r="B67">
            <v>10</v>
          </cell>
          <cell r="C67" t="str">
            <v>dzień turnieju.</v>
          </cell>
          <cell r="I67" t="str">
            <v>Nr meczu</v>
          </cell>
          <cell r="N67" t="str">
            <v>Godz.</v>
          </cell>
          <cell r="R67" t="str">
            <v>S. prow.</v>
          </cell>
          <cell r="AF67" t="str">
            <v>wygrany</v>
          </cell>
          <cell r="AG67" t="str">
            <v>przegrany</v>
          </cell>
        </row>
        <row r="68">
          <cell r="B68" t="str">
            <v>Boisko</v>
          </cell>
          <cell r="C68" t="str">
            <v>Gra</v>
          </cell>
          <cell r="I68">
            <v>10</v>
          </cell>
          <cell r="N68" t="str">
            <v>rozp.</v>
          </cell>
          <cell r="P68" t="str">
            <v>zak.</v>
          </cell>
          <cell r="R68" t="str">
            <v>S. serw.</v>
          </cell>
        </row>
        <row r="69">
          <cell r="A69">
            <v>10</v>
          </cell>
          <cell r="C69" t="str">
            <v>Victorek</v>
          </cell>
          <cell r="H69">
            <v>10</v>
          </cell>
          <cell r="I69">
            <v>21</v>
          </cell>
          <cell r="J69">
            <v>12</v>
          </cell>
          <cell r="K69">
            <v>21</v>
          </cell>
          <cell r="R69">
            <v>0</v>
          </cell>
          <cell r="S69" t="str">
            <v>godz.9:40</v>
          </cell>
          <cell r="X69">
            <v>10</v>
          </cell>
          <cell r="Y69" t="str">
            <v>Victorek</v>
          </cell>
          <cell r="Z69" t="str">
            <v>R0015</v>
          </cell>
          <cell r="AA69" t="str">
            <v/>
          </cell>
          <cell r="AB69" t="str">
            <v>M0029</v>
          </cell>
          <cell r="AC69" t="str">
            <v/>
          </cell>
          <cell r="AD69" t="str">
            <v>M0029</v>
          </cell>
          <cell r="AE69" t="str">
            <v/>
          </cell>
          <cell r="AF69" t="str">
            <v>21:10,21:12</v>
          </cell>
          <cell r="AG69" t="str">
            <v>10:21,12:21</v>
          </cell>
          <cell r="AH69" t="str">
            <v/>
          </cell>
          <cell r="AI69">
            <v>10</v>
          </cell>
          <cell r="AJ69">
            <v>21</v>
          </cell>
          <cell r="AK69">
            <v>12</v>
          </cell>
          <cell r="AL69">
            <v>21</v>
          </cell>
          <cell r="AM69">
            <v>0</v>
          </cell>
          <cell r="AN69">
            <v>0</v>
          </cell>
        </row>
        <row r="70">
          <cell r="A70" t="str">
            <v/>
          </cell>
          <cell r="B70" t="str">
            <v>Oskar RADZAJ (Mielec)</v>
          </cell>
          <cell r="H70" t="str">
            <v>R0015</v>
          </cell>
          <cell r="K70" t="str">
            <v>M0029</v>
          </cell>
          <cell r="N70" t="str">
            <v>Mateusz MYSZKA (Żupawa)</v>
          </cell>
        </row>
        <row r="71">
          <cell r="A71" t="str">
            <v/>
          </cell>
          <cell r="B71" t="str">
            <v/>
          </cell>
          <cell r="H71" t="str">
            <v/>
          </cell>
          <cell r="K71" t="str">
            <v/>
          </cell>
          <cell r="N71" t="str">
            <v/>
          </cell>
        </row>
        <row r="73">
          <cell r="B73" t="str">
            <v/>
          </cell>
          <cell r="K73" t="str">
            <v>zwycięzca(cy): 21:10,21:12</v>
          </cell>
        </row>
        <row r="74">
          <cell r="B74">
            <v>11</v>
          </cell>
          <cell r="C74" t="str">
            <v>dzień turnieju.</v>
          </cell>
          <cell r="I74" t="str">
            <v>Nr meczu</v>
          </cell>
          <cell r="N74" t="str">
            <v>Godz.</v>
          </cell>
          <cell r="R74" t="str">
            <v>S. prow.</v>
          </cell>
          <cell r="AF74" t="str">
            <v>wygrany</v>
          </cell>
          <cell r="AG74" t="str">
            <v>przegrany</v>
          </cell>
        </row>
        <row r="75">
          <cell r="B75" t="str">
            <v>Boisko</v>
          </cell>
          <cell r="C75" t="str">
            <v>Gra</v>
          </cell>
          <cell r="I75">
            <v>11</v>
          </cell>
          <cell r="N75" t="str">
            <v>rozp.</v>
          </cell>
          <cell r="P75" t="str">
            <v>zak.</v>
          </cell>
          <cell r="R75" t="str">
            <v>S. serw.</v>
          </cell>
        </row>
        <row r="76">
          <cell r="A76">
            <v>11</v>
          </cell>
          <cell r="C76" t="str">
            <v>Victorek</v>
          </cell>
          <cell r="H76">
            <v>21</v>
          </cell>
          <cell r="I76">
            <v>23</v>
          </cell>
          <cell r="J76">
            <v>18</v>
          </cell>
          <cell r="K76">
            <v>21</v>
          </cell>
          <cell r="R76">
            <v>0</v>
          </cell>
          <cell r="S76" t="str">
            <v>godz.9:40</v>
          </cell>
          <cell r="X76">
            <v>11</v>
          </cell>
          <cell r="Y76" t="str">
            <v>Victorek</v>
          </cell>
          <cell r="Z76" t="str">
            <v>G0014</v>
          </cell>
          <cell r="AA76" t="str">
            <v/>
          </cell>
          <cell r="AB76" t="str">
            <v>B0020</v>
          </cell>
          <cell r="AC76" t="str">
            <v/>
          </cell>
          <cell r="AD76" t="str">
            <v>B0020</v>
          </cell>
          <cell r="AE76" t="str">
            <v/>
          </cell>
          <cell r="AF76" t="str">
            <v>23:21,21:18</v>
          </cell>
          <cell r="AG76" t="str">
            <v>21:23,18:21</v>
          </cell>
          <cell r="AH76" t="str">
            <v/>
          </cell>
          <cell r="AI76">
            <v>21</v>
          </cell>
          <cell r="AJ76">
            <v>23</v>
          </cell>
          <cell r="AK76">
            <v>18</v>
          </cell>
          <cell r="AL76">
            <v>21</v>
          </cell>
          <cell r="AM76">
            <v>0</v>
          </cell>
          <cell r="AN76">
            <v>0</v>
          </cell>
        </row>
        <row r="77">
          <cell r="A77" t="str">
            <v/>
          </cell>
          <cell r="B77" t="str">
            <v>Eryk GŁOWACKI (Tarnowiec)</v>
          </cell>
          <cell r="H77" t="str">
            <v>G0014</v>
          </cell>
          <cell r="K77" t="str">
            <v>B0020</v>
          </cell>
          <cell r="N77" t="str">
            <v>Klaudia BUKOWIŃSKA (Dubiecko)</v>
          </cell>
        </row>
        <row r="78">
          <cell r="A78" t="str">
            <v/>
          </cell>
          <cell r="B78" t="str">
            <v/>
          </cell>
          <cell r="H78" t="str">
            <v/>
          </cell>
          <cell r="K78" t="str">
            <v/>
          </cell>
          <cell r="N78" t="str">
            <v/>
          </cell>
        </row>
        <row r="80">
          <cell r="B80" t="str">
            <v/>
          </cell>
          <cell r="K80" t="str">
            <v>zwycięzca(cy): 23:21,21:18</v>
          </cell>
        </row>
        <row r="81">
          <cell r="B81">
            <v>12</v>
          </cell>
          <cell r="C81" t="str">
            <v>dzień turnieju.</v>
          </cell>
          <cell r="I81" t="str">
            <v>Nr meczu</v>
          </cell>
          <cell r="N81" t="str">
            <v>Godz.</v>
          </cell>
          <cell r="R81" t="str">
            <v>S. prow.</v>
          </cell>
          <cell r="AF81" t="str">
            <v>wygrany</v>
          </cell>
          <cell r="AG81" t="str">
            <v>przegrany</v>
          </cell>
        </row>
        <row r="82">
          <cell r="B82" t="str">
            <v>Boisko</v>
          </cell>
          <cell r="C82" t="str">
            <v>Gra</v>
          </cell>
          <cell r="I82">
            <v>12</v>
          </cell>
          <cell r="N82" t="str">
            <v>rozp.</v>
          </cell>
          <cell r="P82" t="str">
            <v>zak.</v>
          </cell>
          <cell r="R82" t="str">
            <v>S. serw.</v>
          </cell>
        </row>
        <row r="83">
          <cell r="A83">
            <v>12</v>
          </cell>
          <cell r="C83" t="str">
            <v>Victorek</v>
          </cell>
          <cell r="H83">
            <v>21</v>
          </cell>
          <cell r="I83">
            <v>9</v>
          </cell>
          <cell r="J83">
            <v>21</v>
          </cell>
          <cell r="K83">
            <v>17</v>
          </cell>
          <cell r="R83">
            <v>0</v>
          </cell>
          <cell r="S83" t="str">
            <v>godz.9:40</v>
          </cell>
          <cell r="X83">
            <v>12</v>
          </cell>
          <cell r="Y83" t="str">
            <v>Victorek</v>
          </cell>
          <cell r="Z83" t="str">
            <v>W0012</v>
          </cell>
          <cell r="AA83" t="str">
            <v/>
          </cell>
          <cell r="AB83" t="str">
            <v>L0005</v>
          </cell>
          <cell r="AC83" t="str">
            <v/>
          </cell>
          <cell r="AD83" t="str">
            <v>W0012</v>
          </cell>
          <cell r="AE83" t="str">
            <v/>
          </cell>
          <cell r="AF83" t="str">
            <v>21:9,21:17</v>
          </cell>
          <cell r="AG83" t="str">
            <v>9:21,17:21</v>
          </cell>
          <cell r="AH83" t="str">
            <v/>
          </cell>
          <cell r="AI83">
            <v>21</v>
          </cell>
          <cell r="AJ83">
            <v>9</v>
          </cell>
          <cell r="AK83">
            <v>21</v>
          </cell>
          <cell r="AL83">
            <v>17</v>
          </cell>
          <cell r="AM83">
            <v>0</v>
          </cell>
          <cell r="AN83">
            <v>0</v>
          </cell>
        </row>
        <row r="84">
          <cell r="A84" t="str">
            <v/>
          </cell>
          <cell r="B84" t="str">
            <v>Tomasz WYDRO (Mielec)</v>
          </cell>
          <cell r="H84" t="str">
            <v>W0012</v>
          </cell>
          <cell r="K84" t="str">
            <v>L0005</v>
          </cell>
          <cell r="N84" t="str">
            <v>Izabela LASOTA (Żupawa)</v>
          </cell>
        </row>
        <row r="85">
          <cell r="A85" t="str">
            <v/>
          </cell>
          <cell r="B85" t="str">
            <v/>
          </cell>
          <cell r="H85" t="str">
            <v/>
          </cell>
          <cell r="K85" t="str">
            <v/>
          </cell>
          <cell r="N85" t="str">
            <v/>
          </cell>
        </row>
        <row r="87">
          <cell r="B87" t="str">
            <v>zwycięzca(cy): 21:9,21:17</v>
          </cell>
          <cell r="K87" t="str">
            <v/>
          </cell>
        </row>
        <row r="88">
          <cell r="B88">
            <v>13</v>
          </cell>
          <cell r="C88" t="str">
            <v>dzień turnieju.</v>
          </cell>
          <cell r="I88" t="str">
            <v>Nr meczu</v>
          </cell>
          <cell r="N88" t="str">
            <v>Godz.</v>
          </cell>
          <cell r="R88" t="str">
            <v>S. prow.</v>
          </cell>
          <cell r="AF88" t="str">
            <v>wygrany</v>
          </cell>
          <cell r="AG88" t="str">
            <v>przegrany</v>
          </cell>
        </row>
        <row r="89">
          <cell r="B89" t="str">
            <v>Boisko</v>
          </cell>
          <cell r="C89" t="str">
            <v>Gra</v>
          </cell>
          <cell r="I89">
            <v>13</v>
          </cell>
          <cell r="N89" t="str">
            <v>rozp.</v>
          </cell>
          <cell r="P89" t="str">
            <v>zak.</v>
          </cell>
          <cell r="R89" t="str">
            <v>S. serw.</v>
          </cell>
        </row>
        <row r="90">
          <cell r="A90">
            <v>13</v>
          </cell>
          <cell r="C90" t="str">
            <v>Victorek</v>
          </cell>
          <cell r="H90">
            <v>21</v>
          </cell>
          <cell r="I90">
            <v>10</v>
          </cell>
          <cell r="J90">
            <v>21</v>
          </cell>
          <cell r="K90">
            <v>7</v>
          </cell>
          <cell r="R90">
            <v>0</v>
          </cell>
          <cell r="S90" t="str">
            <v>godz.10:00</v>
          </cell>
          <cell r="X90">
            <v>13</v>
          </cell>
          <cell r="Y90" t="str">
            <v>Victorek</v>
          </cell>
          <cell r="Z90" t="str">
            <v>M0026</v>
          </cell>
          <cell r="AA90" t="str">
            <v/>
          </cell>
          <cell r="AB90" t="str">
            <v>P0021</v>
          </cell>
          <cell r="AC90" t="str">
            <v/>
          </cell>
          <cell r="AD90" t="str">
            <v>M0026</v>
          </cell>
          <cell r="AE90" t="str">
            <v/>
          </cell>
          <cell r="AF90" t="str">
            <v>21:10,21:7</v>
          </cell>
          <cell r="AG90" t="str">
            <v>10:21,7:21</v>
          </cell>
          <cell r="AH90" t="str">
            <v/>
          </cell>
          <cell r="AI90">
            <v>21</v>
          </cell>
          <cell r="AJ90">
            <v>10</v>
          </cell>
          <cell r="AK90">
            <v>21</v>
          </cell>
          <cell r="AL90">
            <v>7</v>
          </cell>
          <cell r="AM90">
            <v>0</v>
          </cell>
          <cell r="AN90">
            <v>0</v>
          </cell>
        </row>
        <row r="91">
          <cell r="A91" t="str">
            <v/>
          </cell>
          <cell r="B91" t="str">
            <v>Wojciech MACHAJ (Mielec)</v>
          </cell>
          <cell r="H91" t="str">
            <v>M0026</v>
          </cell>
          <cell r="K91" t="str">
            <v>P0021</v>
          </cell>
          <cell r="N91" t="str">
            <v>Mikołaj POLAŃSKI (Rzeszów)</v>
          </cell>
        </row>
        <row r="92">
          <cell r="A92" t="str">
            <v/>
          </cell>
          <cell r="B92" t="str">
            <v/>
          </cell>
          <cell r="H92" t="str">
            <v/>
          </cell>
          <cell r="K92" t="str">
            <v/>
          </cell>
          <cell r="N92" t="str">
            <v/>
          </cell>
        </row>
        <row r="94">
          <cell r="B94" t="str">
            <v>zwycięzca(cy): 21:10,21:7</v>
          </cell>
          <cell r="K94" t="str">
            <v/>
          </cell>
        </row>
        <row r="95">
          <cell r="B95">
            <v>14</v>
          </cell>
          <cell r="C95" t="str">
            <v>dzień turnieju.</v>
          </cell>
          <cell r="I95" t="str">
            <v>Nr meczu</v>
          </cell>
          <cell r="N95" t="str">
            <v>Godz.</v>
          </cell>
          <cell r="R95" t="str">
            <v>S. prow.</v>
          </cell>
          <cell r="AF95" t="str">
            <v>wygrany</v>
          </cell>
          <cell r="AG95" t="str">
            <v>przegrany</v>
          </cell>
        </row>
        <row r="96">
          <cell r="B96" t="str">
            <v>Boisko</v>
          </cell>
          <cell r="C96" t="str">
            <v>Gra</v>
          </cell>
          <cell r="I96">
            <v>14</v>
          </cell>
          <cell r="N96" t="str">
            <v>rozp.</v>
          </cell>
          <cell r="P96" t="str">
            <v>zak.</v>
          </cell>
          <cell r="R96" t="str">
            <v>S. serw.</v>
          </cell>
        </row>
        <row r="97">
          <cell r="A97">
            <v>14</v>
          </cell>
          <cell r="C97" t="str">
            <v>Victorek</v>
          </cell>
          <cell r="H97">
            <v>16</v>
          </cell>
          <cell r="I97">
            <v>21</v>
          </cell>
          <cell r="J97">
            <v>21</v>
          </cell>
          <cell r="K97">
            <v>19</v>
          </cell>
          <cell r="L97">
            <v>21</v>
          </cell>
          <cell r="M97">
            <v>18</v>
          </cell>
          <cell r="R97">
            <v>0</v>
          </cell>
          <cell r="S97" t="str">
            <v>godz.10:00</v>
          </cell>
          <cell r="X97">
            <v>14</v>
          </cell>
          <cell r="Y97" t="str">
            <v>Victorek</v>
          </cell>
          <cell r="Z97" t="str">
            <v>W0013</v>
          </cell>
          <cell r="AA97" t="str">
            <v/>
          </cell>
          <cell r="AB97" t="str">
            <v>R0017</v>
          </cell>
          <cell r="AC97" t="str">
            <v/>
          </cell>
          <cell r="AD97" t="str">
            <v>W0013</v>
          </cell>
          <cell r="AE97" t="str">
            <v/>
          </cell>
          <cell r="AF97" t="str">
            <v>16:21,21:19,21:18</v>
          </cell>
          <cell r="AG97" t="str">
            <v>21:16,19:21,18:21</v>
          </cell>
          <cell r="AH97" t="str">
            <v/>
          </cell>
          <cell r="AI97">
            <v>16</v>
          </cell>
          <cell r="AJ97">
            <v>21</v>
          </cell>
          <cell r="AK97">
            <v>21</v>
          </cell>
          <cell r="AL97">
            <v>19</v>
          </cell>
          <cell r="AM97">
            <v>21</v>
          </cell>
          <cell r="AN97">
            <v>18</v>
          </cell>
        </row>
        <row r="98">
          <cell r="A98" t="str">
            <v/>
          </cell>
          <cell r="B98" t="str">
            <v>Olaf WARNECKI (Rzeszów)</v>
          </cell>
          <cell r="H98" t="str">
            <v>W0013</v>
          </cell>
          <cell r="K98" t="str">
            <v>R0017</v>
          </cell>
          <cell r="N98" t="str">
            <v>Patryk RUSIN (Mielec)</v>
          </cell>
        </row>
        <row r="99">
          <cell r="A99" t="str">
            <v/>
          </cell>
          <cell r="B99" t="str">
            <v/>
          </cell>
          <cell r="H99" t="str">
            <v/>
          </cell>
          <cell r="K99" t="str">
            <v/>
          </cell>
          <cell r="N99" t="str">
            <v/>
          </cell>
        </row>
        <row r="101">
          <cell r="B101" t="str">
            <v>zwycięzca(cy): 16:21,21:19,21:18</v>
          </cell>
          <cell r="K101" t="str">
            <v/>
          </cell>
        </row>
        <row r="102">
          <cell r="B102">
            <v>15</v>
          </cell>
          <cell r="C102" t="str">
            <v>dzień turnieju.</v>
          </cell>
          <cell r="I102" t="str">
            <v>Nr meczu</v>
          </cell>
          <cell r="N102" t="str">
            <v>Godz.</v>
          </cell>
          <cell r="R102" t="str">
            <v>S. prow.</v>
          </cell>
          <cell r="AF102" t="str">
            <v>wygrany</v>
          </cell>
          <cell r="AG102" t="str">
            <v>przegrany</v>
          </cell>
        </row>
        <row r="103">
          <cell r="B103" t="str">
            <v>Boisko</v>
          </cell>
          <cell r="C103" t="str">
            <v>Gra</v>
          </cell>
          <cell r="I103">
            <v>15</v>
          </cell>
          <cell r="N103" t="str">
            <v>rozp.</v>
          </cell>
          <cell r="P103" t="str">
            <v>zak.</v>
          </cell>
          <cell r="R103" t="str">
            <v>S. serw.</v>
          </cell>
        </row>
        <row r="104">
          <cell r="A104">
            <v>15</v>
          </cell>
          <cell r="C104" t="str">
            <v>Victorek</v>
          </cell>
          <cell r="H104">
            <v>21</v>
          </cell>
          <cell r="I104">
            <v>1</v>
          </cell>
          <cell r="J104">
            <v>21</v>
          </cell>
          <cell r="K104">
            <v>5</v>
          </cell>
          <cell r="R104">
            <v>0</v>
          </cell>
          <cell r="S104" t="str">
            <v>godz.10:00</v>
          </cell>
          <cell r="X104">
            <v>15</v>
          </cell>
          <cell r="Y104" t="str">
            <v>Victorek</v>
          </cell>
          <cell r="Z104" t="str">
            <v>S0035</v>
          </cell>
          <cell r="AA104" t="str">
            <v/>
          </cell>
          <cell r="AB104" t="str">
            <v>S0037</v>
          </cell>
          <cell r="AC104" t="str">
            <v/>
          </cell>
          <cell r="AD104" t="str">
            <v>S0035</v>
          </cell>
          <cell r="AE104" t="str">
            <v/>
          </cell>
          <cell r="AF104" t="str">
            <v>21:1,21:5</v>
          </cell>
          <cell r="AG104" t="str">
            <v>1:21,5:21</v>
          </cell>
          <cell r="AH104" t="str">
            <v/>
          </cell>
          <cell r="AI104">
            <v>21</v>
          </cell>
          <cell r="AJ104">
            <v>1</v>
          </cell>
          <cell r="AK104">
            <v>21</v>
          </cell>
          <cell r="AL104">
            <v>5</v>
          </cell>
          <cell r="AM104">
            <v>0</v>
          </cell>
          <cell r="AN104">
            <v>0</v>
          </cell>
        </row>
        <row r="105">
          <cell r="A105" t="str">
            <v/>
          </cell>
          <cell r="B105" t="str">
            <v>Kuba SITEK (Rzeszów)</v>
          </cell>
          <cell r="H105" t="str">
            <v>S0035</v>
          </cell>
          <cell r="K105" t="str">
            <v>S0037</v>
          </cell>
          <cell r="N105" t="str">
            <v>Anna SAWICKA (Tarnowiec)</v>
          </cell>
        </row>
        <row r="106">
          <cell r="A106" t="str">
            <v/>
          </cell>
          <cell r="B106" t="str">
            <v/>
          </cell>
          <cell r="H106" t="str">
            <v/>
          </cell>
          <cell r="K106" t="str">
            <v/>
          </cell>
          <cell r="N106" t="str">
            <v/>
          </cell>
        </row>
        <row r="108">
          <cell r="B108" t="str">
            <v>zwycięzca(cy): 21:1,21:5</v>
          </cell>
          <cell r="K108" t="str">
            <v/>
          </cell>
        </row>
        <row r="109">
          <cell r="B109">
            <v>16</v>
          </cell>
          <cell r="C109" t="str">
            <v>dzień turnieju.</v>
          </cell>
          <cell r="I109" t="str">
            <v>Nr meczu</v>
          </cell>
          <cell r="N109" t="str">
            <v>Godz.</v>
          </cell>
          <cell r="R109" t="str">
            <v>S. prow.</v>
          </cell>
          <cell r="AF109" t="str">
            <v>wygrany</v>
          </cell>
          <cell r="AG109" t="str">
            <v>przegrany</v>
          </cell>
        </row>
        <row r="110">
          <cell r="B110" t="str">
            <v>Boisko</v>
          </cell>
          <cell r="C110" t="str">
            <v>Gra</v>
          </cell>
          <cell r="I110">
            <v>16</v>
          </cell>
          <cell r="N110" t="str">
            <v>rozp.</v>
          </cell>
          <cell r="P110" t="str">
            <v>zak.</v>
          </cell>
          <cell r="R110" t="str">
            <v>S. serw.</v>
          </cell>
        </row>
        <row r="111">
          <cell r="A111">
            <v>16</v>
          </cell>
          <cell r="C111" t="str">
            <v>Victorek</v>
          </cell>
          <cell r="H111">
            <v>21</v>
          </cell>
          <cell r="I111">
            <v>11</v>
          </cell>
          <cell r="J111">
            <v>21</v>
          </cell>
          <cell r="K111">
            <v>6</v>
          </cell>
          <cell r="R111">
            <v>0</v>
          </cell>
          <cell r="S111" t="str">
            <v>godz.10:00</v>
          </cell>
          <cell r="X111">
            <v>16</v>
          </cell>
          <cell r="Y111" t="str">
            <v>Victorek</v>
          </cell>
          <cell r="Z111" t="str">
            <v>O0006</v>
          </cell>
          <cell r="AA111" t="str">
            <v/>
          </cell>
          <cell r="AB111" t="str">
            <v>R0015</v>
          </cell>
          <cell r="AC111" t="str">
            <v/>
          </cell>
          <cell r="AD111" t="str">
            <v>O0006</v>
          </cell>
          <cell r="AE111" t="str">
            <v/>
          </cell>
          <cell r="AF111" t="str">
            <v>21:11,21:6</v>
          </cell>
          <cell r="AG111" t="str">
            <v>11:21,6:21</v>
          </cell>
          <cell r="AH111" t="str">
            <v/>
          </cell>
          <cell r="AI111">
            <v>21</v>
          </cell>
          <cell r="AJ111">
            <v>11</v>
          </cell>
          <cell r="AK111">
            <v>21</v>
          </cell>
          <cell r="AL111">
            <v>6</v>
          </cell>
          <cell r="AM111">
            <v>0</v>
          </cell>
          <cell r="AN111">
            <v>0</v>
          </cell>
        </row>
        <row r="112">
          <cell r="A112" t="str">
            <v/>
          </cell>
          <cell r="B112" t="str">
            <v>Jessica ORZECHOWICZ (Tarnowiec)</v>
          </cell>
          <cell r="H112" t="str">
            <v>O0006</v>
          </cell>
          <cell r="K112" t="str">
            <v>R0015</v>
          </cell>
          <cell r="N112" t="str">
            <v>Oskar RADZAJ (Mielec)</v>
          </cell>
        </row>
        <row r="113">
          <cell r="A113" t="str">
            <v/>
          </cell>
          <cell r="B113" t="str">
            <v/>
          </cell>
          <cell r="H113" t="str">
            <v/>
          </cell>
          <cell r="K113" t="str">
            <v/>
          </cell>
          <cell r="N113" t="str">
            <v/>
          </cell>
        </row>
        <row r="115">
          <cell r="B115" t="str">
            <v>zwycięzca(cy): 21:11,21:6</v>
          </cell>
          <cell r="K115" t="str">
            <v/>
          </cell>
        </row>
        <row r="116">
          <cell r="B116">
            <v>17</v>
          </cell>
          <cell r="C116" t="str">
            <v>dzień turnieju.</v>
          </cell>
          <cell r="I116" t="str">
            <v>Nr meczu</v>
          </cell>
          <cell r="N116" t="str">
            <v>Godz.</v>
          </cell>
          <cell r="R116" t="str">
            <v>S. prow.</v>
          </cell>
          <cell r="AF116" t="str">
            <v>wygrany</v>
          </cell>
          <cell r="AG116" t="str">
            <v>przegrany</v>
          </cell>
        </row>
        <row r="117">
          <cell r="B117" t="str">
            <v>Boisko</v>
          </cell>
          <cell r="C117" t="str">
            <v>Gra</v>
          </cell>
          <cell r="I117">
            <v>17</v>
          </cell>
          <cell r="N117" t="str">
            <v>rozp.</v>
          </cell>
          <cell r="P117" t="str">
            <v>zak.</v>
          </cell>
          <cell r="R117" t="str">
            <v>S. serw.</v>
          </cell>
        </row>
        <row r="118">
          <cell r="A118">
            <v>17</v>
          </cell>
          <cell r="C118" t="str">
            <v>Victorek</v>
          </cell>
          <cell r="H118">
            <v>5</v>
          </cell>
          <cell r="I118">
            <v>21</v>
          </cell>
          <cell r="J118">
            <v>12</v>
          </cell>
          <cell r="K118">
            <v>21</v>
          </cell>
          <cell r="R118">
            <v>0</v>
          </cell>
          <cell r="S118" t="str">
            <v>godz.10:20</v>
          </cell>
          <cell r="X118">
            <v>17</v>
          </cell>
          <cell r="Y118" t="str">
            <v>Victorek</v>
          </cell>
          <cell r="Z118" t="str">
            <v>H0006</v>
          </cell>
          <cell r="AA118" t="str">
            <v/>
          </cell>
          <cell r="AB118" t="str">
            <v>G0014</v>
          </cell>
          <cell r="AC118" t="str">
            <v/>
          </cell>
          <cell r="AD118" t="str">
            <v>G0014</v>
          </cell>
          <cell r="AE118" t="str">
            <v/>
          </cell>
          <cell r="AF118" t="str">
            <v>21:5,21:12</v>
          </cell>
          <cell r="AG118" t="str">
            <v>5:21,12:21</v>
          </cell>
          <cell r="AH118" t="str">
            <v/>
          </cell>
          <cell r="AI118">
            <v>5</v>
          </cell>
          <cell r="AJ118">
            <v>21</v>
          </cell>
          <cell r="AK118">
            <v>12</v>
          </cell>
          <cell r="AL118">
            <v>21</v>
          </cell>
          <cell r="AM118">
            <v>0</v>
          </cell>
          <cell r="AN118">
            <v>0</v>
          </cell>
        </row>
        <row r="119">
          <cell r="A119" t="str">
            <v/>
          </cell>
          <cell r="B119" t="str">
            <v>Natalia HAŁATA (Mielec)</v>
          </cell>
          <cell r="H119" t="str">
            <v>H0006</v>
          </cell>
          <cell r="K119" t="str">
            <v>G0014</v>
          </cell>
          <cell r="N119" t="str">
            <v>Eryk GŁOWACKI (Tarnowiec)</v>
          </cell>
        </row>
        <row r="120">
          <cell r="A120" t="str">
            <v/>
          </cell>
          <cell r="B120" t="str">
            <v/>
          </cell>
          <cell r="H120" t="str">
            <v/>
          </cell>
          <cell r="K120" t="str">
            <v/>
          </cell>
          <cell r="N120" t="str">
            <v/>
          </cell>
        </row>
        <row r="122">
          <cell r="B122" t="str">
            <v/>
          </cell>
          <cell r="K122" t="str">
            <v>zwycięzca(cy): 21:5,21:12</v>
          </cell>
        </row>
        <row r="123">
          <cell r="B123">
            <v>18</v>
          </cell>
          <cell r="C123" t="str">
            <v>dzień turnieju.</v>
          </cell>
          <cell r="I123" t="str">
            <v>Nr meczu</v>
          </cell>
          <cell r="N123" t="str">
            <v>Godz.</v>
          </cell>
          <cell r="R123" t="str">
            <v>S. prow.</v>
          </cell>
          <cell r="AF123" t="str">
            <v>wygrany</v>
          </cell>
          <cell r="AG123" t="str">
            <v>przegrany</v>
          </cell>
        </row>
        <row r="124">
          <cell r="B124" t="str">
            <v>Boisko</v>
          </cell>
          <cell r="C124" t="str">
            <v>Gra</v>
          </cell>
          <cell r="I124">
            <v>18</v>
          </cell>
          <cell r="N124" t="str">
            <v>rozp.</v>
          </cell>
          <cell r="P124" t="str">
            <v>zak.</v>
          </cell>
          <cell r="R124" t="str">
            <v>S. serw.</v>
          </cell>
        </row>
        <row r="125">
          <cell r="A125">
            <v>18</v>
          </cell>
          <cell r="C125" t="str">
            <v>Victorek</v>
          </cell>
          <cell r="H125">
            <v>21</v>
          </cell>
          <cell r="I125">
            <v>3</v>
          </cell>
          <cell r="J125">
            <v>21</v>
          </cell>
          <cell r="K125">
            <v>3</v>
          </cell>
          <cell r="R125">
            <v>0</v>
          </cell>
          <cell r="S125" t="str">
            <v>godz.10:20</v>
          </cell>
          <cell r="X125">
            <v>18</v>
          </cell>
          <cell r="Y125" t="str">
            <v>Victorek</v>
          </cell>
          <cell r="Z125" t="str">
            <v>D0008</v>
          </cell>
          <cell r="AA125" t="str">
            <v/>
          </cell>
          <cell r="AB125" t="str">
            <v>W0012</v>
          </cell>
          <cell r="AC125" t="str">
            <v/>
          </cell>
          <cell r="AD125" t="str">
            <v>D0008</v>
          </cell>
          <cell r="AE125" t="str">
            <v/>
          </cell>
          <cell r="AF125" t="str">
            <v>21:3,21:3</v>
          </cell>
          <cell r="AG125" t="str">
            <v>3:21,3:21</v>
          </cell>
          <cell r="AH125" t="str">
            <v/>
          </cell>
          <cell r="AI125">
            <v>21</v>
          </cell>
          <cell r="AJ125">
            <v>3</v>
          </cell>
          <cell r="AK125">
            <v>21</v>
          </cell>
          <cell r="AL125">
            <v>3</v>
          </cell>
          <cell r="AM125">
            <v>0</v>
          </cell>
          <cell r="AN125">
            <v>0</v>
          </cell>
        </row>
        <row r="126">
          <cell r="A126" t="str">
            <v/>
          </cell>
          <cell r="B126" t="str">
            <v>Patrycja DOMAŃSKA (Rzeszów)</v>
          </cell>
          <cell r="H126" t="str">
            <v>D0008</v>
          </cell>
          <cell r="K126" t="str">
            <v>W0012</v>
          </cell>
          <cell r="N126" t="str">
            <v>Tomasz WYDRO (Mielec)</v>
          </cell>
        </row>
        <row r="127">
          <cell r="A127" t="str">
            <v/>
          </cell>
          <cell r="B127" t="str">
            <v/>
          </cell>
          <cell r="H127" t="str">
            <v/>
          </cell>
          <cell r="K127" t="str">
            <v/>
          </cell>
          <cell r="N127" t="str">
            <v/>
          </cell>
        </row>
        <row r="129">
          <cell r="B129" t="str">
            <v>zwycięzca(cy): 21:3,21:3</v>
          </cell>
          <cell r="K129" t="str">
            <v/>
          </cell>
        </row>
        <row r="130">
          <cell r="B130">
            <v>19</v>
          </cell>
          <cell r="C130" t="str">
            <v>dzień turnieju.</v>
          </cell>
          <cell r="I130" t="str">
            <v>Nr meczu</v>
          </cell>
          <cell r="N130" t="str">
            <v>Godz.</v>
          </cell>
          <cell r="R130" t="str">
            <v>S. prow.</v>
          </cell>
          <cell r="AF130" t="str">
            <v>wygrany</v>
          </cell>
          <cell r="AG130" t="str">
            <v>przegrany</v>
          </cell>
        </row>
        <row r="131">
          <cell r="B131" t="str">
            <v>Boisko</v>
          </cell>
          <cell r="C131" t="str">
            <v>Gra</v>
          </cell>
          <cell r="I131">
            <v>19</v>
          </cell>
          <cell r="N131" t="str">
            <v>rozp.</v>
          </cell>
          <cell r="P131" t="str">
            <v>zak.</v>
          </cell>
          <cell r="R131" t="str">
            <v>S. serw.</v>
          </cell>
        </row>
        <row r="132">
          <cell r="A132">
            <v>19</v>
          </cell>
          <cell r="C132" t="str">
            <v>Victorek</v>
          </cell>
          <cell r="H132">
            <v>21</v>
          </cell>
          <cell r="I132">
            <v>12</v>
          </cell>
          <cell r="J132">
            <v>21</v>
          </cell>
          <cell r="K132">
            <v>16</v>
          </cell>
          <cell r="R132">
            <v>0</v>
          </cell>
          <cell r="S132" t="str">
            <v>godz.10:20</v>
          </cell>
          <cell r="X132">
            <v>19</v>
          </cell>
          <cell r="Y132" t="str">
            <v>Victorek</v>
          </cell>
          <cell r="Z132" t="str">
            <v>S0035</v>
          </cell>
          <cell r="AA132" t="str">
            <v/>
          </cell>
          <cell r="AB132" t="str">
            <v>W0012</v>
          </cell>
          <cell r="AC132" t="str">
            <v/>
          </cell>
          <cell r="AD132" t="str">
            <v>S0035</v>
          </cell>
          <cell r="AE132" t="str">
            <v/>
          </cell>
          <cell r="AF132" t="str">
            <v>21:12,21:16</v>
          </cell>
          <cell r="AG132" t="str">
            <v>12:21,16:21</v>
          </cell>
          <cell r="AH132" t="str">
            <v/>
          </cell>
          <cell r="AI132">
            <v>21</v>
          </cell>
          <cell r="AJ132">
            <v>12</v>
          </cell>
          <cell r="AK132">
            <v>21</v>
          </cell>
          <cell r="AL132">
            <v>16</v>
          </cell>
          <cell r="AM132">
            <v>0</v>
          </cell>
          <cell r="AN132">
            <v>0</v>
          </cell>
        </row>
        <row r="133">
          <cell r="A133" t="str">
            <v/>
          </cell>
          <cell r="B133" t="str">
            <v>Kuba SITEK (Rzeszów)</v>
          </cell>
          <cell r="H133" t="str">
            <v>S0035</v>
          </cell>
          <cell r="K133" t="str">
            <v>W0012</v>
          </cell>
          <cell r="N133" t="str">
            <v>Tomasz WYDRO (Mielec)</v>
          </cell>
        </row>
        <row r="134">
          <cell r="A134" t="str">
            <v/>
          </cell>
          <cell r="B134" t="str">
            <v/>
          </cell>
          <cell r="H134" t="str">
            <v/>
          </cell>
          <cell r="K134" t="str">
            <v/>
          </cell>
          <cell r="N134" t="str">
            <v/>
          </cell>
        </row>
        <row r="136">
          <cell r="B136" t="str">
            <v>zwycięzca(cy): 21:12,21:16</v>
          </cell>
          <cell r="K136" t="str">
            <v/>
          </cell>
        </row>
        <row r="137">
          <cell r="B137">
            <v>20</v>
          </cell>
          <cell r="C137" t="str">
            <v>dzień turnieju.</v>
          </cell>
          <cell r="I137" t="str">
            <v>Nr meczu</v>
          </cell>
          <cell r="N137" t="str">
            <v>Godz.</v>
          </cell>
          <cell r="R137" t="str">
            <v>S. prow.</v>
          </cell>
          <cell r="AF137" t="str">
            <v>wygrany</v>
          </cell>
          <cell r="AG137" t="str">
            <v>przegrany</v>
          </cell>
        </row>
        <row r="138">
          <cell r="B138" t="str">
            <v>Boisko</v>
          </cell>
          <cell r="C138" t="str">
            <v>Gra</v>
          </cell>
          <cell r="I138">
            <v>20</v>
          </cell>
          <cell r="N138" t="str">
            <v>rozp.</v>
          </cell>
          <cell r="P138" t="str">
            <v>zak.</v>
          </cell>
          <cell r="R138" t="str">
            <v>S. serw.</v>
          </cell>
        </row>
        <row r="139">
          <cell r="A139">
            <v>20</v>
          </cell>
          <cell r="C139" t="str">
            <v>Victorek</v>
          </cell>
          <cell r="H139">
            <v>21</v>
          </cell>
          <cell r="I139">
            <v>17</v>
          </cell>
          <cell r="J139">
            <v>21</v>
          </cell>
          <cell r="K139">
            <v>16</v>
          </cell>
          <cell r="R139">
            <v>0</v>
          </cell>
          <cell r="S139" t="str">
            <v>godz.10:20</v>
          </cell>
          <cell r="X139">
            <v>20</v>
          </cell>
          <cell r="Y139" t="str">
            <v>Victorek</v>
          </cell>
          <cell r="Z139" t="str">
            <v>G0014</v>
          </cell>
          <cell r="AA139" t="str">
            <v/>
          </cell>
          <cell r="AB139" t="str">
            <v>M0029</v>
          </cell>
          <cell r="AC139" t="str">
            <v/>
          </cell>
          <cell r="AD139" t="str">
            <v>G0014</v>
          </cell>
          <cell r="AE139" t="str">
            <v/>
          </cell>
          <cell r="AF139" t="str">
            <v>21:17,21:16</v>
          </cell>
          <cell r="AG139" t="str">
            <v>17:21,16:21</v>
          </cell>
          <cell r="AH139" t="str">
            <v/>
          </cell>
          <cell r="AI139">
            <v>21</v>
          </cell>
          <cell r="AJ139">
            <v>17</v>
          </cell>
          <cell r="AK139">
            <v>21</v>
          </cell>
          <cell r="AL139">
            <v>16</v>
          </cell>
          <cell r="AM139">
            <v>0</v>
          </cell>
          <cell r="AN139">
            <v>0</v>
          </cell>
        </row>
        <row r="140">
          <cell r="A140" t="str">
            <v/>
          </cell>
          <cell r="B140" t="str">
            <v>Eryk GŁOWACKI (Tarnowiec)</v>
          </cell>
          <cell r="H140" t="str">
            <v>G0014</v>
          </cell>
          <cell r="K140" t="str">
            <v>M0029</v>
          </cell>
          <cell r="N140" t="str">
            <v>Mateusz MYSZKA (Żupawa)</v>
          </cell>
        </row>
        <row r="141">
          <cell r="A141" t="str">
            <v/>
          </cell>
          <cell r="B141" t="str">
            <v/>
          </cell>
          <cell r="H141" t="str">
            <v/>
          </cell>
          <cell r="K141" t="str">
            <v/>
          </cell>
          <cell r="N141" t="str">
            <v/>
          </cell>
        </row>
        <row r="143">
          <cell r="B143" t="str">
            <v>zwycięzca(cy): 21:17,21:16</v>
          </cell>
          <cell r="K143" t="str">
            <v/>
          </cell>
        </row>
        <row r="144">
          <cell r="B144">
            <v>21</v>
          </cell>
          <cell r="C144" t="str">
            <v>dzień turnieju.</v>
          </cell>
          <cell r="I144" t="str">
            <v>Nr meczu</v>
          </cell>
          <cell r="N144" t="str">
            <v>Godz.</v>
          </cell>
          <cell r="R144" t="str">
            <v>S. prow.</v>
          </cell>
          <cell r="AF144" t="str">
            <v>wygrany</v>
          </cell>
          <cell r="AG144" t="str">
            <v>przegrany</v>
          </cell>
        </row>
        <row r="145">
          <cell r="B145" t="str">
            <v>Boisko</v>
          </cell>
          <cell r="C145" t="str">
            <v>Gra</v>
          </cell>
          <cell r="I145">
            <v>21</v>
          </cell>
          <cell r="N145" t="str">
            <v>rozp.</v>
          </cell>
          <cell r="P145" t="str">
            <v>zak.</v>
          </cell>
          <cell r="R145" t="str">
            <v>S. serw.</v>
          </cell>
        </row>
        <row r="146">
          <cell r="A146">
            <v>21</v>
          </cell>
          <cell r="C146" t="str">
            <v>Victorek</v>
          </cell>
          <cell r="H146">
            <v>16</v>
          </cell>
          <cell r="I146">
            <v>21</v>
          </cell>
          <cell r="J146">
            <v>16</v>
          </cell>
          <cell r="K146">
            <v>21</v>
          </cell>
          <cell r="R146">
            <v>0</v>
          </cell>
          <cell r="S146" t="str">
            <v>godz.10:40</v>
          </cell>
          <cell r="X146">
            <v>21</v>
          </cell>
          <cell r="Y146" t="str">
            <v>Victorek</v>
          </cell>
          <cell r="Z146" t="str">
            <v>K0041</v>
          </cell>
          <cell r="AA146" t="str">
            <v/>
          </cell>
          <cell r="AB146" t="str">
            <v>R0017</v>
          </cell>
          <cell r="AC146" t="str">
            <v/>
          </cell>
          <cell r="AD146" t="str">
            <v>R0017</v>
          </cell>
          <cell r="AE146" t="str">
            <v/>
          </cell>
          <cell r="AF146" t="str">
            <v>21:16,21:16</v>
          </cell>
          <cell r="AG146" t="str">
            <v>16:21,16:21</v>
          </cell>
          <cell r="AH146" t="str">
            <v/>
          </cell>
          <cell r="AI146">
            <v>16</v>
          </cell>
          <cell r="AJ146">
            <v>21</v>
          </cell>
          <cell r="AK146">
            <v>16</v>
          </cell>
          <cell r="AL146">
            <v>21</v>
          </cell>
          <cell r="AM146">
            <v>0</v>
          </cell>
          <cell r="AN146">
            <v>0</v>
          </cell>
        </row>
        <row r="147">
          <cell r="A147" t="str">
            <v/>
          </cell>
          <cell r="B147" t="str">
            <v>Kamila KOWAL (Żupawa)</v>
          </cell>
          <cell r="H147" t="str">
            <v>K0041</v>
          </cell>
          <cell r="K147" t="str">
            <v>R0017</v>
          </cell>
          <cell r="N147" t="str">
            <v>Patryk RUSIN (Mielec)</v>
          </cell>
        </row>
        <row r="148">
          <cell r="A148" t="str">
            <v/>
          </cell>
          <cell r="B148" t="str">
            <v/>
          </cell>
          <cell r="H148" t="str">
            <v/>
          </cell>
          <cell r="K148" t="str">
            <v/>
          </cell>
          <cell r="N148" t="str">
            <v/>
          </cell>
        </row>
        <row r="150">
          <cell r="B150" t="str">
            <v/>
          </cell>
          <cell r="K150" t="str">
            <v>zwycięzca(cy): 21:16,21:16</v>
          </cell>
        </row>
        <row r="151">
          <cell r="B151">
            <v>22</v>
          </cell>
          <cell r="C151" t="str">
            <v>dzień turnieju.</v>
          </cell>
          <cell r="I151" t="str">
            <v>Nr meczu</v>
          </cell>
          <cell r="N151" t="str">
            <v>Godz.</v>
          </cell>
          <cell r="R151" t="str">
            <v>S. prow.</v>
          </cell>
          <cell r="AF151" t="str">
            <v>wygrany</v>
          </cell>
          <cell r="AG151" t="str">
            <v>przegrany</v>
          </cell>
        </row>
        <row r="152">
          <cell r="B152" t="str">
            <v>Boisko</v>
          </cell>
          <cell r="C152" t="str">
            <v>Gra</v>
          </cell>
          <cell r="I152">
            <v>22</v>
          </cell>
          <cell r="N152" t="str">
            <v>rozp.</v>
          </cell>
          <cell r="P152" t="str">
            <v>zak.</v>
          </cell>
          <cell r="R152" t="str">
            <v>S. serw.</v>
          </cell>
        </row>
        <row r="153">
          <cell r="A153">
            <v>22</v>
          </cell>
          <cell r="C153" t="str">
            <v>Victorek</v>
          </cell>
          <cell r="H153">
            <v>6</v>
          </cell>
          <cell r="I153">
            <v>21</v>
          </cell>
          <cell r="J153">
            <v>3</v>
          </cell>
          <cell r="K153">
            <v>21</v>
          </cell>
          <cell r="R153">
            <v>0</v>
          </cell>
          <cell r="S153" t="str">
            <v>godz.10:40</v>
          </cell>
          <cell r="X153">
            <v>22</v>
          </cell>
          <cell r="Y153" t="str">
            <v>Victorek</v>
          </cell>
          <cell r="Z153" t="str">
            <v>P0021</v>
          </cell>
          <cell r="AA153" t="str">
            <v/>
          </cell>
          <cell r="AB153" t="str">
            <v>O0006</v>
          </cell>
          <cell r="AC153" t="str">
            <v/>
          </cell>
          <cell r="AD153" t="str">
            <v>O0006</v>
          </cell>
          <cell r="AE153" t="str">
            <v/>
          </cell>
          <cell r="AF153" t="str">
            <v>21:6,21:3</v>
          </cell>
          <cell r="AG153" t="str">
            <v>6:21,3:21</v>
          </cell>
          <cell r="AH153" t="str">
            <v/>
          </cell>
          <cell r="AI153">
            <v>6</v>
          </cell>
          <cell r="AJ153">
            <v>21</v>
          </cell>
          <cell r="AK153">
            <v>3</v>
          </cell>
          <cell r="AL153">
            <v>21</v>
          </cell>
          <cell r="AM153">
            <v>0</v>
          </cell>
          <cell r="AN153">
            <v>0</v>
          </cell>
        </row>
        <row r="154">
          <cell r="A154" t="str">
            <v/>
          </cell>
          <cell r="B154" t="str">
            <v>Mikołaj POLAŃSKI (Rzeszów)</v>
          </cell>
          <cell r="H154" t="str">
            <v>P0021</v>
          </cell>
          <cell r="K154" t="str">
            <v>O0006</v>
          </cell>
          <cell r="N154" t="str">
            <v>Jessica ORZECHOWICZ (Tarnowiec)</v>
          </cell>
        </row>
        <row r="155">
          <cell r="A155" t="str">
            <v/>
          </cell>
          <cell r="B155" t="str">
            <v/>
          </cell>
          <cell r="H155" t="str">
            <v/>
          </cell>
          <cell r="K155" t="str">
            <v/>
          </cell>
          <cell r="N155" t="str">
            <v/>
          </cell>
        </row>
        <row r="157">
          <cell r="B157" t="str">
            <v/>
          </cell>
          <cell r="K157" t="str">
            <v>zwycięzca(cy): 21:6,21:3</v>
          </cell>
        </row>
        <row r="158">
          <cell r="B158">
            <v>23</v>
          </cell>
          <cell r="C158" t="str">
            <v>dzień turnieju.</v>
          </cell>
          <cell r="I158" t="str">
            <v>Nr meczu</v>
          </cell>
          <cell r="N158" t="str">
            <v>Godz.</v>
          </cell>
          <cell r="R158" t="str">
            <v>S. prow.</v>
          </cell>
          <cell r="AF158" t="str">
            <v>wygrany</v>
          </cell>
          <cell r="AG158" t="str">
            <v>przegrany</v>
          </cell>
        </row>
        <row r="159">
          <cell r="B159" t="str">
            <v>Boisko</v>
          </cell>
          <cell r="C159" t="str">
            <v>Gra</v>
          </cell>
          <cell r="I159">
            <v>23</v>
          </cell>
          <cell r="N159" t="str">
            <v>rozp.</v>
          </cell>
          <cell r="P159" t="str">
            <v>zak.</v>
          </cell>
          <cell r="R159" t="str">
            <v>S. serw.</v>
          </cell>
        </row>
        <row r="160">
          <cell r="A160">
            <v>23</v>
          </cell>
          <cell r="C160" t="str">
            <v>Victorek</v>
          </cell>
          <cell r="H160">
            <v>16</v>
          </cell>
          <cell r="I160">
            <v>21</v>
          </cell>
          <cell r="J160">
            <v>21</v>
          </cell>
          <cell r="K160">
            <v>12</v>
          </cell>
          <cell r="L160">
            <v>21</v>
          </cell>
          <cell r="M160">
            <v>17</v>
          </cell>
          <cell r="R160">
            <v>0</v>
          </cell>
          <cell r="S160" t="str">
            <v>godz.10:40</v>
          </cell>
          <cell r="X160">
            <v>23</v>
          </cell>
          <cell r="Y160" t="str">
            <v>Victorek</v>
          </cell>
          <cell r="Z160" t="str">
            <v>M0026</v>
          </cell>
          <cell r="AA160" t="str">
            <v/>
          </cell>
          <cell r="AB160" t="str">
            <v>S0035</v>
          </cell>
          <cell r="AC160" t="str">
            <v/>
          </cell>
          <cell r="AD160" t="str">
            <v>M0026</v>
          </cell>
          <cell r="AE160" t="str">
            <v/>
          </cell>
          <cell r="AF160" t="str">
            <v>16:21,21:12,21:17</v>
          </cell>
          <cell r="AG160" t="str">
            <v>21:16,12:21,17:21</v>
          </cell>
          <cell r="AH160" t="str">
            <v/>
          </cell>
          <cell r="AI160">
            <v>16</v>
          </cell>
          <cell r="AJ160">
            <v>21</v>
          </cell>
          <cell r="AK160">
            <v>21</v>
          </cell>
          <cell r="AL160">
            <v>12</v>
          </cell>
          <cell r="AM160">
            <v>21</v>
          </cell>
          <cell r="AN160">
            <v>17</v>
          </cell>
        </row>
        <row r="161">
          <cell r="A161" t="str">
            <v/>
          </cell>
          <cell r="B161" t="str">
            <v>Wojciech MACHAJ (Mielec)</v>
          </cell>
          <cell r="H161" t="str">
            <v>M0026</v>
          </cell>
          <cell r="K161" t="str">
            <v>S0035</v>
          </cell>
          <cell r="N161" t="str">
            <v>Kuba SITEK (Rzeszów)</v>
          </cell>
        </row>
        <row r="162">
          <cell r="A162" t="str">
            <v/>
          </cell>
          <cell r="B162" t="str">
            <v/>
          </cell>
          <cell r="H162" t="str">
            <v/>
          </cell>
          <cell r="K162" t="str">
            <v/>
          </cell>
          <cell r="N162" t="str">
            <v/>
          </cell>
        </row>
        <row r="164">
          <cell r="B164" t="str">
            <v>zwycięzca(cy): 16:21,21:12,21:17</v>
          </cell>
          <cell r="K164" t="str">
            <v/>
          </cell>
        </row>
        <row r="165">
          <cell r="B165">
            <v>24</v>
          </cell>
          <cell r="C165" t="str">
            <v>dzień turnieju.</v>
          </cell>
          <cell r="I165" t="str">
            <v>Nr meczu</v>
          </cell>
          <cell r="N165" t="str">
            <v>Godz.</v>
          </cell>
          <cell r="R165" t="str">
            <v>S. prow.</v>
          </cell>
          <cell r="AF165" t="str">
            <v>wygrany</v>
          </cell>
          <cell r="AG165" t="str">
            <v>przegrany</v>
          </cell>
        </row>
        <row r="166">
          <cell r="B166" t="str">
            <v>Boisko</v>
          </cell>
          <cell r="C166" t="str">
            <v>Gra</v>
          </cell>
          <cell r="I166">
            <v>24</v>
          </cell>
          <cell r="N166" t="str">
            <v>rozp.</v>
          </cell>
          <cell r="P166" t="str">
            <v>zak.</v>
          </cell>
          <cell r="R166" t="str">
            <v>S. serw.</v>
          </cell>
        </row>
        <row r="167">
          <cell r="A167">
            <v>24</v>
          </cell>
          <cell r="C167" t="str">
            <v>Victorek</v>
          </cell>
          <cell r="H167">
            <v>13</v>
          </cell>
          <cell r="I167">
            <v>21</v>
          </cell>
          <cell r="J167">
            <v>12</v>
          </cell>
          <cell r="K167">
            <v>21</v>
          </cell>
          <cell r="R167">
            <v>0</v>
          </cell>
          <cell r="S167" t="str">
            <v>godz.10:40</v>
          </cell>
          <cell r="X167">
            <v>24</v>
          </cell>
          <cell r="Y167" t="str">
            <v>Victorek</v>
          </cell>
          <cell r="Z167" t="str">
            <v>W0013</v>
          </cell>
          <cell r="AA167" t="str">
            <v/>
          </cell>
          <cell r="AB167" t="str">
            <v>G0014</v>
          </cell>
          <cell r="AC167" t="str">
            <v/>
          </cell>
          <cell r="AD167" t="str">
            <v>G0014</v>
          </cell>
          <cell r="AE167" t="str">
            <v/>
          </cell>
          <cell r="AF167" t="str">
            <v>21:13,21:12</v>
          </cell>
          <cell r="AG167" t="str">
            <v>13:21,12:21</v>
          </cell>
          <cell r="AH167" t="str">
            <v/>
          </cell>
          <cell r="AI167">
            <v>13</v>
          </cell>
          <cell r="AJ167">
            <v>21</v>
          </cell>
          <cell r="AK167">
            <v>12</v>
          </cell>
          <cell r="AL167">
            <v>21</v>
          </cell>
          <cell r="AM167">
            <v>0</v>
          </cell>
          <cell r="AN167">
            <v>0</v>
          </cell>
        </row>
        <row r="168">
          <cell r="A168" t="str">
            <v/>
          </cell>
          <cell r="B168" t="str">
            <v>Olaf WARNECKI (Rzeszów)</v>
          </cell>
          <cell r="H168" t="str">
            <v>W0013</v>
          </cell>
          <cell r="K168" t="str">
            <v>G0014</v>
          </cell>
          <cell r="N168" t="str">
            <v>Eryk GŁOWACKI (Tarnowiec)</v>
          </cell>
        </row>
        <row r="169">
          <cell r="A169" t="str">
            <v/>
          </cell>
          <cell r="B169" t="str">
            <v/>
          </cell>
          <cell r="H169" t="str">
            <v/>
          </cell>
          <cell r="K169" t="str">
            <v/>
          </cell>
          <cell r="N169" t="str">
            <v/>
          </cell>
        </row>
        <row r="171">
          <cell r="B171" t="str">
            <v/>
          </cell>
          <cell r="K171" t="str">
            <v>zwycięzca(cy): 21:13,21:12</v>
          </cell>
        </row>
        <row r="172">
          <cell r="B172">
            <v>25</v>
          </cell>
          <cell r="C172" t="str">
            <v>dzień turnieju.</v>
          </cell>
          <cell r="I172" t="str">
            <v>Nr meczu</v>
          </cell>
          <cell r="N172" t="str">
            <v>Godz.</v>
          </cell>
          <cell r="R172" t="str">
            <v>S. prow.</v>
          </cell>
          <cell r="AF172" t="str">
            <v>wygrany</v>
          </cell>
          <cell r="AG172" t="str">
            <v>przegrany</v>
          </cell>
        </row>
        <row r="173">
          <cell r="B173" t="str">
            <v>Boisko</v>
          </cell>
          <cell r="C173" t="str">
            <v>Gra</v>
          </cell>
          <cell r="I173">
            <v>25</v>
          </cell>
          <cell r="N173" t="str">
            <v>rozp.</v>
          </cell>
          <cell r="P173" t="str">
            <v>zak.</v>
          </cell>
          <cell r="R173" t="str">
            <v>S. serw.</v>
          </cell>
        </row>
        <row r="174">
          <cell r="A174">
            <v>25</v>
          </cell>
          <cell r="C174" t="str">
            <v>Victorek</v>
          </cell>
          <cell r="H174">
            <v>5</v>
          </cell>
          <cell r="I174">
            <v>21</v>
          </cell>
          <cell r="J174">
            <v>1</v>
          </cell>
          <cell r="K174">
            <v>21</v>
          </cell>
          <cell r="R174">
            <v>0</v>
          </cell>
          <cell r="S174" t="str">
            <v>godz.11:00</v>
          </cell>
          <cell r="X174">
            <v>25</v>
          </cell>
          <cell r="Y174" t="str">
            <v>Victorek</v>
          </cell>
          <cell r="Z174" t="str">
            <v>R0017</v>
          </cell>
          <cell r="AA174" t="str">
            <v/>
          </cell>
          <cell r="AB174" t="str">
            <v>B0020</v>
          </cell>
          <cell r="AC174" t="str">
            <v/>
          </cell>
          <cell r="AD174" t="str">
            <v>B0020</v>
          </cell>
          <cell r="AE174" t="str">
            <v/>
          </cell>
          <cell r="AF174" t="str">
            <v>21:5,21:1</v>
          </cell>
          <cell r="AG174" t="str">
            <v>5:21,1:21</v>
          </cell>
          <cell r="AH174" t="str">
            <v/>
          </cell>
          <cell r="AI174">
            <v>5</v>
          </cell>
          <cell r="AJ174">
            <v>21</v>
          </cell>
          <cell r="AK174">
            <v>1</v>
          </cell>
          <cell r="AL174">
            <v>21</v>
          </cell>
          <cell r="AM174">
            <v>0</v>
          </cell>
          <cell r="AN174">
            <v>0</v>
          </cell>
        </row>
        <row r="175">
          <cell r="A175" t="str">
            <v/>
          </cell>
          <cell r="B175" t="str">
            <v>Patryk RUSIN (Mielec)</v>
          </cell>
          <cell r="H175" t="str">
            <v>R0017</v>
          </cell>
          <cell r="K175" t="str">
            <v>B0020</v>
          </cell>
          <cell r="N175" t="str">
            <v>Klaudia BUKOWIŃSKA (Dubiecko)</v>
          </cell>
        </row>
        <row r="176">
          <cell r="A176" t="str">
            <v/>
          </cell>
          <cell r="B176" t="str">
            <v/>
          </cell>
          <cell r="H176" t="str">
            <v/>
          </cell>
          <cell r="K176" t="str">
            <v/>
          </cell>
          <cell r="N176" t="str">
            <v/>
          </cell>
        </row>
        <row r="178">
          <cell r="B178" t="str">
            <v/>
          </cell>
          <cell r="K178" t="str">
            <v>zwycięzca(cy): 21:5,21:1</v>
          </cell>
        </row>
        <row r="179">
          <cell r="B179">
            <v>26</v>
          </cell>
          <cell r="C179" t="str">
            <v>dzień turnieju.</v>
          </cell>
          <cell r="I179" t="str">
            <v>Nr meczu</v>
          </cell>
          <cell r="N179" t="str">
            <v>Godz.</v>
          </cell>
          <cell r="R179" t="str">
            <v>S. prow.</v>
          </cell>
          <cell r="AF179" t="str">
            <v>wygrany</v>
          </cell>
          <cell r="AG179" t="str">
            <v>przegrany</v>
          </cell>
        </row>
        <row r="180">
          <cell r="B180" t="str">
            <v>Boisko</v>
          </cell>
          <cell r="C180" t="str">
            <v>Gra</v>
          </cell>
          <cell r="I180">
            <v>26</v>
          </cell>
          <cell r="N180" t="str">
            <v>rozp.</v>
          </cell>
          <cell r="P180" t="str">
            <v>zak.</v>
          </cell>
          <cell r="R180" t="str">
            <v>S. serw.</v>
          </cell>
        </row>
        <row r="181">
          <cell r="A181">
            <v>26</v>
          </cell>
          <cell r="C181" t="str">
            <v>Victorek</v>
          </cell>
          <cell r="H181">
            <v>16</v>
          </cell>
          <cell r="I181">
            <v>21</v>
          </cell>
          <cell r="J181">
            <v>16</v>
          </cell>
          <cell r="K181">
            <v>21</v>
          </cell>
          <cell r="R181">
            <v>0</v>
          </cell>
          <cell r="S181" t="str">
            <v>godz.11:00</v>
          </cell>
          <cell r="X181">
            <v>26</v>
          </cell>
          <cell r="Y181" t="str">
            <v>Victorek</v>
          </cell>
          <cell r="Z181" t="str">
            <v>O0006</v>
          </cell>
          <cell r="AA181" t="str">
            <v/>
          </cell>
          <cell r="AB181" t="str">
            <v>D0008</v>
          </cell>
          <cell r="AC181" t="str">
            <v/>
          </cell>
          <cell r="AD181" t="str">
            <v>D0008</v>
          </cell>
          <cell r="AE181" t="str">
            <v/>
          </cell>
          <cell r="AF181" t="str">
            <v>21:16,21:16</v>
          </cell>
          <cell r="AG181" t="str">
            <v>16:21,16:21</v>
          </cell>
          <cell r="AH181" t="str">
            <v/>
          </cell>
          <cell r="AI181">
            <v>16</v>
          </cell>
          <cell r="AJ181">
            <v>21</v>
          </cell>
          <cell r="AK181">
            <v>16</v>
          </cell>
          <cell r="AL181">
            <v>21</v>
          </cell>
          <cell r="AM181">
            <v>0</v>
          </cell>
          <cell r="AN181">
            <v>0</v>
          </cell>
        </row>
        <row r="182">
          <cell r="A182" t="str">
            <v/>
          </cell>
          <cell r="B182" t="str">
            <v>Jessica ORZECHOWICZ (Tarnowiec)</v>
          </cell>
          <cell r="H182" t="str">
            <v>O0006</v>
          </cell>
          <cell r="K182" t="str">
            <v>D0008</v>
          </cell>
          <cell r="N182" t="str">
            <v>Patrycja DOMAŃSKA (Rzeszów)</v>
          </cell>
        </row>
        <row r="183">
          <cell r="A183" t="str">
            <v/>
          </cell>
          <cell r="B183" t="str">
            <v/>
          </cell>
          <cell r="H183" t="str">
            <v/>
          </cell>
          <cell r="K183" t="str">
            <v/>
          </cell>
          <cell r="N183" t="str">
            <v/>
          </cell>
        </row>
        <row r="185">
          <cell r="B185" t="str">
            <v/>
          </cell>
          <cell r="K185" t="str">
            <v>zwycięzca(cy): 21:16,21:16</v>
          </cell>
        </row>
        <row r="186">
          <cell r="B186">
            <v>27</v>
          </cell>
          <cell r="C186" t="str">
            <v>dzień turnieju.</v>
          </cell>
          <cell r="I186" t="str">
            <v>Nr meczu</v>
          </cell>
          <cell r="N186" t="str">
            <v>Godz.</v>
          </cell>
          <cell r="R186" t="str">
            <v>S. prow.</v>
          </cell>
          <cell r="AF186" t="str">
            <v>wygrany</v>
          </cell>
          <cell r="AG186" t="str">
            <v>przegrany</v>
          </cell>
        </row>
        <row r="187">
          <cell r="B187" t="str">
            <v>Boisko</v>
          </cell>
          <cell r="C187" t="str">
            <v>Gra</v>
          </cell>
          <cell r="I187">
            <v>27</v>
          </cell>
          <cell r="N187" t="str">
            <v>rozp.</v>
          </cell>
          <cell r="P187" t="str">
            <v>zak.</v>
          </cell>
          <cell r="R187" t="str">
            <v>S. serw.</v>
          </cell>
        </row>
        <row r="188">
          <cell r="A188">
            <v>27</v>
          </cell>
          <cell r="C188" t="str">
            <v>Victorek</v>
          </cell>
          <cell r="H188">
            <v>17</v>
          </cell>
          <cell r="I188">
            <v>21</v>
          </cell>
          <cell r="J188">
            <v>18</v>
          </cell>
          <cell r="K188">
            <v>21</v>
          </cell>
          <cell r="R188">
            <v>0</v>
          </cell>
          <cell r="S188" t="str">
            <v>godz.11:00</v>
          </cell>
          <cell r="X188">
            <v>27</v>
          </cell>
          <cell r="Y188" t="str">
            <v>Victorek</v>
          </cell>
          <cell r="Z188" t="str">
            <v>M0026</v>
          </cell>
          <cell r="AA188" t="str">
            <v/>
          </cell>
          <cell r="AB188" t="str">
            <v>G0014</v>
          </cell>
          <cell r="AC188" t="str">
            <v/>
          </cell>
          <cell r="AD188" t="str">
            <v>G0014</v>
          </cell>
          <cell r="AE188" t="str">
            <v/>
          </cell>
          <cell r="AF188" t="str">
            <v>21:17,21:18</v>
          </cell>
          <cell r="AG188" t="str">
            <v>17:21,18:21</v>
          </cell>
          <cell r="AH188" t="str">
            <v/>
          </cell>
          <cell r="AI188">
            <v>17</v>
          </cell>
          <cell r="AJ188">
            <v>21</v>
          </cell>
          <cell r="AK188">
            <v>18</v>
          </cell>
          <cell r="AL188">
            <v>21</v>
          </cell>
          <cell r="AM188">
            <v>0</v>
          </cell>
          <cell r="AN188">
            <v>0</v>
          </cell>
        </row>
        <row r="189">
          <cell r="A189" t="str">
            <v/>
          </cell>
          <cell r="B189" t="str">
            <v>Wojciech MACHAJ (Mielec)</v>
          </cell>
          <cell r="H189" t="str">
            <v>M0026</v>
          </cell>
          <cell r="K189" t="str">
            <v>G0014</v>
          </cell>
          <cell r="N189" t="str">
            <v>Eryk GŁOWACKI (Tarnowiec)</v>
          </cell>
        </row>
        <row r="190">
          <cell r="A190" t="str">
            <v/>
          </cell>
          <cell r="B190" t="str">
            <v/>
          </cell>
          <cell r="H190" t="str">
            <v/>
          </cell>
          <cell r="K190" t="str">
            <v/>
          </cell>
          <cell r="N190" t="str">
            <v/>
          </cell>
        </row>
        <row r="192">
          <cell r="B192" t="str">
            <v/>
          </cell>
          <cell r="K192" t="str">
            <v>zwycięzca(cy): 21:17,21:18</v>
          </cell>
        </row>
        <row r="193">
          <cell r="B193">
            <v>28</v>
          </cell>
          <cell r="C193" t="str">
            <v>dzień turnieju.</v>
          </cell>
          <cell r="I193" t="str">
            <v>Nr meczu</v>
          </cell>
          <cell r="N193" t="str">
            <v>Godz.</v>
          </cell>
          <cell r="R193" t="str">
            <v>S. prow.</v>
          </cell>
          <cell r="AF193" t="str">
            <v>wygrany</v>
          </cell>
          <cell r="AG193" t="str">
            <v>przegrany</v>
          </cell>
        </row>
        <row r="194">
          <cell r="B194" t="str">
            <v>Boisko</v>
          </cell>
          <cell r="C194" t="str">
            <v>Gra</v>
          </cell>
          <cell r="I194">
            <v>28</v>
          </cell>
          <cell r="N194" t="str">
            <v>rozp.</v>
          </cell>
          <cell r="P194" t="str">
            <v>zak.</v>
          </cell>
          <cell r="R194" t="str">
            <v>S. serw.</v>
          </cell>
        </row>
        <row r="195">
          <cell r="A195">
            <v>28</v>
          </cell>
          <cell r="C195" t="str">
            <v>Victorek</v>
          </cell>
          <cell r="H195">
            <v>21</v>
          </cell>
          <cell r="I195">
            <v>13</v>
          </cell>
          <cell r="J195">
            <v>21</v>
          </cell>
          <cell r="K195">
            <v>8</v>
          </cell>
          <cell r="R195">
            <v>0</v>
          </cell>
          <cell r="S195" t="str">
            <v>godz.11:00</v>
          </cell>
          <cell r="X195">
            <v>28</v>
          </cell>
          <cell r="Y195" t="str">
            <v>Victorek</v>
          </cell>
          <cell r="Z195" t="str">
            <v>B0020</v>
          </cell>
          <cell r="AA195" t="str">
            <v/>
          </cell>
          <cell r="AB195" t="str">
            <v>D0008</v>
          </cell>
          <cell r="AC195" t="str">
            <v/>
          </cell>
          <cell r="AD195" t="str">
            <v>B0020</v>
          </cell>
          <cell r="AE195" t="str">
            <v/>
          </cell>
          <cell r="AF195" t="str">
            <v>21:13,21:8</v>
          </cell>
          <cell r="AG195" t="str">
            <v>13:21,8:21</v>
          </cell>
          <cell r="AH195" t="str">
            <v/>
          </cell>
          <cell r="AI195">
            <v>21</v>
          </cell>
          <cell r="AJ195">
            <v>13</v>
          </cell>
          <cell r="AK195">
            <v>21</v>
          </cell>
          <cell r="AL195">
            <v>8</v>
          </cell>
          <cell r="AM195">
            <v>0</v>
          </cell>
          <cell r="AN195">
            <v>0</v>
          </cell>
        </row>
        <row r="196">
          <cell r="A196" t="str">
            <v/>
          </cell>
          <cell r="B196" t="str">
            <v>Klaudia BUKOWIŃSKA (Dubiecko)</v>
          </cell>
          <cell r="H196" t="str">
            <v>B0020</v>
          </cell>
          <cell r="K196" t="str">
            <v>D0008</v>
          </cell>
          <cell r="N196" t="str">
            <v>Patrycja DOMAŃSKA (Rzeszów)</v>
          </cell>
        </row>
        <row r="197">
          <cell r="A197" t="str">
            <v/>
          </cell>
          <cell r="B197" t="str">
            <v/>
          </cell>
          <cell r="H197" t="str">
            <v/>
          </cell>
          <cell r="K197" t="str">
            <v/>
          </cell>
          <cell r="N197" t="str">
            <v/>
          </cell>
        </row>
        <row r="199">
          <cell r="B199" t="str">
            <v>zwycięzca(cy): 21:13,21:8</v>
          </cell>
          <cell r="K199" t="str">
            <v/>
          </cell>
        </row>
        <row r="200">
          <cell r="B200">
            <v>29</v>
          </cell>
          <cell r="C200" t="str">
            <v>dzień turnieju.</v>
          </cell>
          <cell r="I200" t="str">
            <v>Nr meczu</v>
          </cell>
          <cell r="N200" t="str">
            <v>Godz.</v>
          </cell>
          <cell r="R200" t="str">
            <v>S. prow.</v>
          </cell>
          <cell r="AF200" t="str">
            <v>wygrany</v>
          </cell>
          <cell r="AG200" t="str">
            <v>przegrany</v>
          </cell>
        </row>
        <row r="201">
          <cell r="B201" t="str">
            <v>Boisko</v>
          </cell>
          <cell r="C201" t="str">
            <v>Gra</v>
          </cell>
          <cell r="I201">
            <v>29</v>
          </cell>
          <cell r="N201" t="str">
            <v>rozp.</v>
          </cell>
          <cell r="P201" t="str">
            <v>zak.</v>
          </cell>
          <cell r="R201" t="str">
            <v>S. serw.</v>
          </cell>
        </row>
        <row r="202">
          <cell r="A202">
            <v>29</v>
          </cell>
          <cell r="C202" t="str">
            <v>Victorek</v>
          </cell>
          <cell r="H202">
            <v>18</v>
          </cell>
          <cell r="I202">
            <v>21</v>
          </cell>
          <cell r="J202">
            <v>21</v>
          </cell>
          <cell r="K202">
            <v>19</v>
          </cell>
          <cell r="L202">
            <v>16</v>
          </cell>
          <cell r="M202">
            <v>21</v>
          </cell>
          <cell r="R202">
            <v>0</v>
          </cell>
          <cell r="S202" t="str">
            <v>godz.11:20</v>
          </cell>
          <cell r="X202">
            <v>29</v>
          </cell>
          <cell r="Y202" t="str">
            <v>Victorek</v>
          </cell>
          <cell r="Z202" t="str">
            <v>M0026</v>
          </cell>
          <cell r="AA202" t="str">
            <v/>
          </cell>
          <cell r="AB202" t="str">
            <v>D0008</v>
          </cell>
          <cell r="AC202" t="str">
            <v/>
          </cell>
          <cell r="AD202" t="str">
            <v>D0008</v>
          </cell>
          <cell r="AE202" t="str">
            <v/>
          </cell>
          <cell r="AF202" t="str">
            <v>21:18,19:21,21:16</v>
          </cell>
          <cell r="AG202" t="str">
            <v>18:21,21:19,16:21</v>
          </cell>
          <cell r="AH202" t="str">
            <v/>
          </cell>
          <cell r="AI202">
            <v>18</v>
          </cell>
          <cell r="AJ202">
            <v>21</v>
          </cell>
          <cell r="AK202">
            <v>21</v>
          </cell>
          <cell r="AL202">
            <v>19</v>
          </cell>
          <cell r="AM202">
            <v>16</v>
          </cell>
          <cell r="AN202">
            <v>21</v>
          </cell>
        </row>
        <row r="203">
          <cell r="A203" t="str">
            <v/>
          </cell>
          <cell r="B203" t="str">
            <v>Wojciech MACHAJ (Mielec)</v>
          </cell>
          <cell r="H203" t="str">
            <v>M0026</v>
          </cell>
          <cell r="K203" t="str">
            <v>D0008</v>
          </cell>
          <cell r="N203" t="str">
            <v>Patrycja DOMAŃSKA (Rzeszów)</v>
          </cell>
        </row>
        <row r="204">
          <cell r="A204" t="str">
            <v/>
          </cell>
          <cell r="B204" t="str">
            <v/>
          </cell>
          <cell r="H204" t="str">
            <v/>
          </cell>
          <cell r="K204" t="str">
            <v/>
          </cell>
          <cell r="N204" t="str">
            <v/>
          </cell>
        </row>
        <row r="206">
          <cell r="B206" t="str">
            <v/>
          </cell>
          <cell r="K206" t="str">
            <v>zwycięzca(cy): 21:18,19:21,21:16</v>
          </cell>
        </row>
        <row r="207">
          <cell r="B207">
            <v>30</v>
          </cell>
          <cell r="C207" t="str">
            <v>dzień turnieju.</v>
          </cell>
          <cell r="I207" t="str">
            <v>Nr meczu</v>
          </cell>
          <cell r="N207" t="str">
            <v>Godz.</v>
          </cell>
          <cell r="R207" t="str">
            <v>S. prow.</v>
          </cell>
          <cell r="AF207" t="str">
            <v>wygrany</v>
          </cell>
          <cell r="AG207" t="str">
            <v>przegrany</v>
          </cell>
        </row>
        <row r="208">
          <cell r="B208" t="str">
            <v>Boisko</v>
          </cell>
          <cell r="C208" t="str">
            <v>Gra</v>
          </cell>
          <cell r="I208">
            <v>30</v>
          </cell>
          <cell r="N208" t="str">
            <v>rozp.</v>
          </cell>
          <cell r="P208" t="str">
            <v>zak.</v>
          </cell>
          <cell r="R208" t="str">
            <v>S. serw.</v>
          </cell>
        </row>
        <row r="209">
          <cell r="A209">
            <v>30</v>
          </cell>
          <cell r="C209" t="str">
            <v>Victorek</v>
          </cell>
          <cell r="H209">
            <v>12</v>
          </cell>
          <cell r="I209">
            <v>21</v>
          </cell>
          <cell r="J209">
            <v>8</v>
          </cell>
          <cell r="K209">
            <v>21</v>
          </cell>
          <cell r="R209">
            <v>0</v>
          </cell>
          <cell r="S209" t="str">
            <v>godz.11:20</v>
          </cell>
          <cell r="X209">
            <v>30</v>
          </cell>
          <cell r="Y209" t="str">
            <v>Victorek</v>
          </cell>
          <cell r="Z209" t="str">
            <v>G0014</v>
          </cell>
          <cell r="AA209" t="str">
            <v/>
          </cell>
          <cell r="AB209" t="str">
            <v>B0020</v>
          </cell>
          <cell r="AC209" t="str">
            <v/>
          </cell>
          <cell r="AD209" t="str">
            <v>B0020</v>
          </cell>
          <cell r="AE209" t="str">
            <v/>
          </cell>
          <cell r="AF209" t="str">
            <v>21:12,21:8</v>
          </cell>
          <cell r="AG209" t="str">
            <v>12:21,8:21</v>
          </cell>
          <cell r="AH209" t="str">
            <v/>
          </cell>
          <cell r="AI209">
            <v>12</v>
          </cell>
          <cell r="AJ209">
            <v>21</v>
          </cell>
          <cell r="AK209">
            <v>8</v>
          </cell>
          <cell r="AL209">
            <v>21</v>
          </cell>
          <cell r="AM209">
            <v>0</v>
          </cell>
          <cell r="AN209">
            <v>0</v>
          </cell>
        </row>
        <row r="210">
          <cell r="A210" t="str">
            <v/>
          </cell>
          <cell r="B210" t="str">
            <v>Eryk GŁOWACKI (Tarnowiec)</v>
          </cell>
          <cell r="H210" t="str">
            <v>G0014</v>
          </cell>
          <cell r="K210" t="str">
            <v>B0020</v>
          </cell>
          <cell r="N210" t="str">
            <v>Klaudia BUKOWIŃSKA (Dubiecko)</v>
          </cell>
        </row>
        <row r="211">
          <cell r="A211" t="str">
            <v/>
          </cell>
          <cell r="B211" t="str">
            <v/>
          </cell>
          <cell r="H211" t="str">
            <v/>
          </cell>
          <cell r="K211" t="str">
            <v/>
          </cell>
          <cell r="N211" t="str">
            <v/>
          </cell>
        </row>
        <row r="213">
          <cell r="B213" t="str">
            <v/>
          </cell>
          <cell r="K213" t="str">
            <v>zwycięzca(cy): 21:12,21:8</v>
          </cell>
        </row>
        <row r="214">
          <cell r="B214">
            <v>31</v>
          </cell>
          <cell r="C214" t="str">
            <v>dzień turnieju.</v>
          </cell>
          <cell r="I214" t="str">
            <v>Nr meczu</v>
          </cell>
          <cell r="N214" t="str">
            <v>Godz.</v>
          </cell>
          <cell r="R214" t="str">
            <v>S. prow.</v>
          </cell>
          <cell r="AF214" t="str">
            <v>wygrany</v>
          </cell>
          <cell r="AG214" t="str">
            <v>przegrany</v>
          </cell>
        </row>
        <row r="215">
          <cell r="B215" t="str">
            <v>Boisko</v>
          </cell>
          <cell r="C215" t="str">
            <v>Gra</v>
          </cell>
          <cell r="I215">
            <v>31</v>
          </cell>
          <cell r="N215" t="str">
            <v>rozp.</v>
          </cell>
          <cell r="P215" t="str">
            <v>zak.</v>
          </cell>
          <cell r="R215" t="str">
            <v>S. serw.</v>
          </cell>
        </row>
        <row r="216">
          <cell r="A216">
            <v>31</v>
          </cell>
          <cell r="C216" t="str">
            <v/>
          </cell>
          <cell r="R216">
            <v>0</v>
          </cell>
          <cell r="S216" t="str">
            <v>godz.11:20</v>
          </cell>
          <cell r="X216">
            <v>31</v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</row>
        <row r="217">
          <cell r="A217" t="str">
            <v/>
          </cell>
          <cell r="B217" t="str">
            <v/>
          </cell>
          <cell r="H217" t="str">
            <v/>
          </cell>
          <cell r="K217" t="str">
            <v/>
          </cell>
          <cell r="N217" t="str">
            <v/>
          </cell>
        </row>
        <row r="218">
          <cell r="A218" t="str">
            <v/>
          </cell>
          <cell r="B218" t="str">
            <v/>
          </cell>
          <cell r="H218" t="str">
            <v/>
          </cell>
          <cell r="K218" t="str">
            <v/>
          </cell>
          <cell r="N218" t="str">
            <v/>
          </cell>
        </row>
        <row r="220">
          <cell r="B220" t="str">
            <v/>
          </cell>
          <cell r="K220" t="str">
            <v/>
          </cell>
        </row>
        <row r="221">
          <cell r="B221">
            <v>32</v>
          </cell>
          <cell r="C221" t="str">
            <v>dzień turnieju.</v>
          </cell>
          <cell r="I221" t="str">
            <v>Nr meczu</v>
          </cell>
          <cell r="N221" t="str">
            <v>Godz.</v>
          </cell>
          <cell r="R221" t="str">
            <v>S. prow.</v>
          </cell>
          <cell r="AF221" t="str">
            <v>wygrany</v>
          </cell>
          <cell r="AG221" t="str">
            <v>przegrany</v>
          </cell>
        </row>
        <row r="222">
          <cell r="B222" t="str">
            <v>Boisko</v>
          </cell>
          <cell r="C222" t="str">
            <v>Gra</v>
          </cell>
          <cell r="I222">
            <v>32</v>
          </cell>
          <cell r="N222" t="str">
            <v>rozp.</v>
          </cell>
          <cell r="P222" t="str">
            <v>zak.</v>
          </cell>
          <cell r="R222" t="str">
            <v>S. serw.</v>
          </cell>
        </row>
        <row r="223">
          <cell r="A223">
            <v>32</v>
          </cell>
          <cell r="C223" t="str">
            <v>Runners Up</v>
          </cell>
          <cell r="H223">
            <v>21</v>
          </cell>
          <cell r="I223">
            <v>18</v>
          </cell>
          <cell r="J223">
            <v>18</v>
          </cell>
          <cell r="K223">
            <v>21</v>
          </cell>
          <cell r="L223">
            <v>21</v>
          </cell>
          <cell r="M223">
            <v>10</v>
          </cell>
          <cell r="R223">
            <v>0</v>
          </cell>
          <cell r="S223" t="str">
            <v>godz.11:20</v>
          </cell>
          <cell r="X223">
            <v>32</v>
          </cell>
          <cell r="Y223" t="str">
            <v>Runners Up</v>
          </cell>
          <cell r="Z223" t="str">
            <v>N0002</v>
          </cell>
          <cell r="AA223" t="str">
            <v/>
          </cell>
          <cell r="AB223" t="str">
            <v>B0021</v>
          </cell>
          <cell r="AC223" t="str">
            <v/>
          </cell>
          <cell r="AD223" t="str">
            <v>N0002</v>
          </cell>
          <cell r="AE223" t="str">
            <v/>
          </cell>
          <cell r="AF223" t="str">
            <v>21:18,18:21,21:10</v>
          </cell>
          <cell r="AG223" t="str">
            <v>18:21,21:18,10:21</v>
          </cell>
          <cell r="AH223" t="str">
            <v/>
          </cell>
          <cell r="AI223">
            <v>21</v>
          </cell>
          <cell r="AJ223">
            <v>18</v>
          </cell>
          <cell r="AK223">
            <v>18</v>
          </cell>
          <cell r="AL223">
            <v>21</v>
          </cell>
          <cell r="AM223">
            <v>21</v>
          </cell>
          <cell r="AN223">
            <v>10</v>
          </cell>
        </row>
        <row r="224">
          <cell r="A224" t="str">
            <v/>
          </cell>
          <cell r="B224" t="str">
            <v>Robert NOWAK (Mielec)</v>
          </cell>
          <cell r="H224" t="str">
            <v>N0002</v>
          </cell>
          <cell r="K224" t="str">
            <v>B0021</v>
          </cell>
          <cell r="N224" t="str">
            <v>Krystian BUKOWIŃSKI (Dubiecko)</v>
          </cell>
        </row>
        <row r="225">
          <cell r="A225" t="str">
            <v/>
          </cell>
          <cell r="B225" t="str">
            <v/>
          </cell>
          <cell r="H225" t="str">
            <v/>
          </cell>
          <cell r="K225" t="str">
            <v/>
          </cell>
          <cell r="N225" t="str">
            <v/>
          </cell>
        </row>
        <row r="227">
          <cell r="B227" t="str">
            <v>zwycięzca(cy): 21:18,18:21,21:10</v>
          </cell>
          <cell r="K227" t="str">
            <v/>
          </cell>
        </row>
        <row r="228">
          <cell r="B228">
            <v>33</v>
          </cell>
          <cell r="C228" t="str">
            <v>dzień turnieju.</v>
          </cell>
          <cell r="I228" t="str">
            <v>Nr meczu</v>
          </cell>
          <cell r="N228" t="str">
            <v>Godz.</v>
          </cell>
          <cell r="R228" t="str">
            <v>S. prow.</v>
          </cell>
          <cell r="AF228" t="str">
            <v>wygrany</v>
          </cell>
          <cell r="AG228" t="str">
            <v>przegrany</v>
          </cell>
        </row>
        <row r="229">
          <cell r="B229" t="str">
            <v>Boisko</v>
          </cell>
          <cell r="C229" t="str">
            <v>Gra</v>
          </cell>
          <cell r="I229">
            <v>33</v>
          </cell>
          <cell r="N229" t="str">
            <v>rozp.</v>
          </cell>
          <cell r="P229" t="str">
            <v>zak.</v>
          </cell>
          <cell r="R229" t="str">
            <v>S. serw.</v>
          </cell>
        </row>
        <row r="230">
          <cell r="A230">
            <v>33</v>
          </cell>
          <cell r="C230" t="str">
            <v>Runners Up</v>
          </cell>
          <cell r="H230">
            <v>17</v>
          </cell>
          <cell r="I230">
            <v>21</v>
          </cell>
          <cell r="J230">
            <v>24</v>
          </cell>
          <cell r="K230">
            <v>22</v>
          </cell>
          <cell r="L230">
            <v>18</v>
          </cell>
          <cell r="M230">
            <v>21</v>
          </cell>
          <cell r="R230">
            <v>0</v>
          </cell>
          <cell r="S230" t="str">
            <v>godz.11:40</v>
          </cell>
          <cell r="X230">
            <v>33</v>
          </cell>
          <cell r="Y230" t="str">
            <v>Runners Up</v>
          </cell>
          <cell r="Z230" t="str">
            <v>W0014</v>
          </cell>
          <cell r="AA230" t="str">
            <v/>
          </cell>
          <cell r="AB230" t="str">
            <v>G0015</v>
          </cell>
          <cell r="AC230" t="str">
            <v/>
          </cell>
          <cell r="AD230" t="str">
            <v>G0015</v>
          </cell>
          <cell r="AE230" t="str">
            <v/>
          </cell>
          <cell r="AF230" t="str">
            <v>21:17,22:24,21:18</v>
          </cell>
          <cell r="AG230" t="str">
            <v>17:21,24:22,18:21</v>
          </cell>
          <cell r="AH230" t="str">
            <v/>
          </cell>
          <cell r="AI230">
            <v>17</v>
          </cell>
          <cell r="AJ230">
            <v>21</v>
          </cell>
          <cell r="AK230">
            <v>24</v>
          </cell>
          <cell r="AL230">
            <v>22</v>
          </cell>
          <cell r="AM230">
            <v>18</v>
          </cell>
          <cell r="AN230">
            <v>21</v>
          </cell>
        </row>
        <row r="231">
          <cell r="A231" t="str">
            <v/>
          </cell>
          <cell r="B231" t="str">
            <v>Mariusz  WARNECKI (Rzeszów)</v>
          </cell>
          <cell r="H231" t="str">
            <v>W0014</v>
          </cell>
          <cell r="K231" t="str">
            <v>G0015</v>
          </cell>
          <cell r="N231" t="str">
            <v>Piotr GŁOWACKI (Tarnowiec)</v>
          </cell>
        </row>
        <row r="232">
          <cell r="A232" t="str">
            <v/>
          </cell>
          <cell r="B232" t="str">
            <v/>
          </cell>
          <cell r="H232" t="str">
            <v/>
          </cell>
          <cell r="K232" t="str">
            <v/>
          </cell>
          <cell r="N232" t="str">
            <v/>
          </cell>
        </row>
        <row r="234">
          <cell r="B234" t="str">
            <v/>
          </cell>
          <cell r="K234" t="str">
            <v>zwycięzca(cy): 21:17,22:24,21:18</v>
          </cell>
        </row>
        <row r="235">
          <cell r="B235">
            <v>34</v>
          </cell>
          <cell r="C235" t="str">
            <v>dzień turnieju.</v>
          </cell>
          <cell r="I235" t="str">
            <v>Nr meczu</v>
          </cell>
          <cell r="N235" t="str">
            <v>Godz.</v>
          </cell>
          <cell r="R235" t="str">
            <v>S. prow.</v>
          </cell>
          <cell r="AF235" t="str">
            <v>wygrany</v>
          </cell>
          <cell r="AG235" t="str">
            <v>przegrany</v>
          </cell>
        </row>
        <row r="236">
          <cell r="B236" t="str">
            <v>Boisko</v>
          </cell>
          <cell r="C236" t="str">
            <v>Gra</v>
          </cell>
          <cell r="I236">
            <v>34</v>
          </cell>
          <cell r="N236" t="str">
            <v>rozp.</v>
          </cell>
          <cell r="P236" t="str">
            <v>zak.</v>
          </cell>
          <cell r="R236" t="str">
            <v>S. serw.</v>
          </cell>
        </row>
        <row r="237">
          <cell r="A237">
            <v>34</v>
          </cell>
          <cell r="C237" t="str">
            <v>Runners Up</v>
          </cell>
          <cell r="H237">
            <v>21</v>
          </cell>
          <cell r="I237">
            <v>6</v>
          </cell>
          <cell r="J237">
            <v>21</v>
          </cell>
          <cell r="K237">
            <v>9</v>
          </cell>
          <cell r="R237">
            <v>0</v>
          </cell>
          <cell r="S237" t="str">
            <v>godz.11:40</v>
          </cell>
          <cell r="X237">
            <v>34</v>
          </cell>
          <cell r="Y237" t="str">
            <v>Runners Up</v>
          </cell>
          <cell r="Z237" t="str">
            <v>K0012</v>
          </cell>
          <cell r="AA237" t="str">
            <v/>
          </cell>
          <cell r="AB237" t="str">
            <v>O0004</v>
          </cell>
          <cell r="AC237" t="str">
            <v/>
          </cell>
          <cell r="AD237" t="str">
            <v>K0012</v>
          </cell>
          <cell r="AE237" t="str">
            <v/>
          </cell>
          <cell r="AF237" t="str">
            <v>21:6,21:9</v>
          </cell>
          <cell r="AG237" t="str">
            <v>6:21,9:21</v>
          </cell>
          <cell r="AH237" t="str">
            <v/>
          </cell>
          <cell r="AI237">
            <v>21</v>
          </cell>
          <cell r="AJ237">
            <v>6</v>
          </cell>
          <cell r="AK237">
            <v>21</v>
          </cell>
          <cell r="AL237">
            <v>9</v>
          </cell>
          <cell r="AM237">
            <v>0</v>
          </cell>
          <cell r="AN237">
            <v>0</v>
          </cell>
        </row>
        <row r="238">
          <cell r="A238" t="str">
            <v/>
          </cell>
          <cell r="B238" t="str">
            <v>Piotr KOTERBA (Rzeszów)</v>
          </cell>
          <cell r="H238" t="str">
            <v>K0012</v>
          </cell>
          <cell r="K238" t="str">
            <v>O0004</v>
          </cell>
          <cell r="N238" t="str">
            <v>Krzysztof ORZECHOWICZ (Tarnowiec)</v>
          </cell>
        </row>
        <row r="239">
          <cell r="A239" t="str">
            <v/>
          </cell>
          <cell r="B239" t="str">
            <v/>
          </cell>
          <cell r="H239" t="str">
            <v/>
          </cell>
          <cell r="K239" t="str">
            <v/>
          </cell>
          <cell r="N239" t="str">
            <v/>
          </cell>
        </row>
        <row r="241">
          <cell r="B241" t="str">
            <v>zwycięzca(cy): 21:6,21:9</v>
          </cell>
          <cell r="K241" t="str">
            <v/>
          </cell>
        </row>
        <row r="242">
          <cell r="B242">
            <v>35</v>
          </cell>
          <cell r="C242" t="str">
            <v>dzień turnieju.</v>
          </cell>
          <cell r="I242" t="str">
            <v>Nr meczu</v>
          </cell>
          <cell r="N242" t="str">
            <v>Godz.</v>
          </cell>
          <cell r="R242" t="str">
            <v>S. prow.</v>
          </cell>
          <cell r="AF242" t="str">
            <v>wygrany</v>
          </cell>
          <cell r="AG242" t="str">
            <v>przegrany</v>
          </cell>
        </row>
        <row r="243">
          <cell r="B243" t="str">
            <v>Boisko</v>
          </cell>
          <cell r="C243" t="str">
            <v>Gra</v>
          </cell>
          <cell r="I243">
            <v>35</v>
          </cell>
          <cell r="N243" t="str">
            <v>rozp.</v>
          </cell>
          <cell r="P243" t="str">
            <v>zak.</v>
          </cell>
          <cell r="R243" t="str">
            <v>S. serw.</v>
          </cell>
        </row>
        <row r="244">
          <cell r="A244">
            <v>35</v>
          </cell>
          <cell r="C244" t="str">
            <v>Runners Up</v>
          </cell>
          <cell r="H244">
            <v>21</v>
          </cell>
          <cell r="I244">
            <v>2</v>
          </cell>
          <cell r="J244">
            <v>21</v>
          </cell>
          <cell r="K244">
            <v>14</v>
          </cell>
          <cell r="R244">
            <v>0</v>
          </cell>
          <cell r="S244" t="str">
            <v>godz.11:40</v>
          </cell>
          <cell r="X244">
            <v>35</v>
          </cell>
          <cell r="Y244" t="str">
            <v>Runners Up</v>
          </cell>
          <cell r="Z244" t="str">
            <v>M0008</v>
          </cell>
          <cell r="AA244" t="str">
            <v/>
          </cell>
          <cell r="AB244" t="str">
            <v>G0017</v>
          </cell>
          <cell r="AC244" t="str">
            <v/>
          </cell>
          <cell r="AD244" t="str">
            <v>M0008</v>
          </cell>
          <cell r="AE244" t="str">
            <v/>
          </cell>
          <cell r="AF244" t="str">
            <v>21:2,21:14</v>
          </cell>
          <cell r="AG244" t="str">
            <v>2:21,14:21</v>
          </cell>
          <cell r="AH244" t="str">
            <v/>
          </cell>
          <cell r="AI244">
            <v>21</v>
          </cell>
          <cell r="AJ244">
            <v>2</v>
          </cell>
          <cell r="AK244">
            <v>21</v>
          </cell>
          <cell r="AL244">
            <v>14</v>
          </cell>
          <cell r="AM244">
            <v>0</v>
          </cell>
          <cell r="AN244">
            <v>0</v>
          </cell>
        </row>
        <row r="245">
          <cell r="A245" t="str">
            <v/>
          </cell>
          <cell r="B245" t="str">
            <v>Tadeusz MICHALIK (Tarnów)</v>
          </cell>
          <cell r="H245" t="str">
            <v>M0008</v>
          </cell>
          <cell r="K245" t="str">
            <v>G0017</v>
          </cell>
          <cell r="N245" t="str">
            <v>Grzegorz GODZWON (Rzeszów)</v>
          </cell>
        </row>
        <row r="246">
          <cell r="A246" t="str">
            <v/>
          </cell>
          <cell r="B246" t="str">
            <v/>
          </cell>
          <cell r="H246" t="str">
            <v/>
          </cell>
          <cell r="K246" t="str">
            <v/>
          </cell>
          <cell r="N246" t="str">
            <v/>
          </cell>
        </row>
        <row r="248">
          <cell r="B248" t="str">
            <v>zwycięzca(cy): 21:2,21:14</v>
          </cell>
          <cell r="K248" t="str">
            <v/>
          </cell>
        </row>
        <row r="249">
          <cell r="B249">
            <v>36</v>
          </cell>
          <cell r="C249" t="str">
            <v>dzień turnieju.</v>
          </cell>
          <cell r="I249" t="str">
            <v>Nr meczu</v>
          </cell>
          <cell r="N249" t="str">
            <v>Godz.</v>
          </cell>
          <cell r="R249" t="str">
            <v>S. prow.</v>
          </cell>
          <cell r="AF249" t="str">
            <v>wygrany</v>
          </cell>
          <cell r="AG249" t="str">
            <v>przegrany</v>
          </cell>
        </row>
        <row r="250">
          <cell r="B250" t="str">
            <v>Boisko</v>
          </cell>
          <cell r="C250" t="str">
            <v>Gra</v>
          </cell>
          <cell r="I250">
            <v>36</v>
          </cell>
          <cell r="N250" t="str">
            <v>rozp.</v>
          </cell>
          <cell r="P250" t="str">
            <v>zak.</v>
          </cell>
          <cell r="R250" t="str">
            <v>S. serw.</v>
          </cell>
        </row>
        <row r="251">
          <cell r="A251">
            <v>36</v>
          </cell>
          <cell r="C251" t="str">
            <v>Runners Up</v>
          </cell>
          <cell r="H251">
            <v>11</v>
          </cell>
          <cell r="I251">
            <v>21</v>
          </cell>
          <cell r="J251">
            <v>16</v>
          </cell>
          <cell r="K251">
            <v>21</v>
          </cell>
          <cell r="R251">
            <v>0</v>
          </cell>
          <cell r="S251" t="str">
            <v>godz.11:40</v>
          </cell>
          <cell r="X251">
            <v>36</v>
          </cell>
          <cell r="Y251" t="str">
            <v>Runners Up</v>
          </cell>
          <cell r="Z251" t="str">
            <v>K0038</v>
          </cell>
          <cell r="AA251" t="str">
            <v/>
          </cell>
          <cell r="AB251" t="str">
            <v>S0040</v>
          </cell>
          <cell r="AC251" t="str">
            <v/>
          </cell>
          <cell r="AD251" t="str">
            <v>S0040</v>
          </cell>
          <cell r="AE251" t="str">
            <v/>
          </cell>
          <cell r="AF251" t="str">
            <v>21:11,21:16</v>
          </cell>
          <cell r="AG251" t="str">
            <v>11:21,16:21</v>
          </cell>
          <cell r="AH251" t="str">
            <v/>
          </cell>
          <cell r="AI251">
            <v>11</v>
          </cell>
          <cell r="AJ251">
            <v>21</v>
          </cell>
          <cell r="AK251">
            <v>16</v>
          </cell>
          <cell r="AL251">
            <v>21</v>
          </cell>
          <cell r="AM251">
            <v>0</v>
          </cell>
          <cell r="AN251">
            <v>0</v>
          </cell>
        </row>
        <row r="252">
          <cell r="A252" t="str">
            <v/>
          </cell>
          <cell r="B252" t="str">
            <v>Wojciech KWOLEK (Mielec)</v>
          </cell>
          <cell r="H252" t="str">
            <v>K0038</v>
          </cell>
          <cell r="K252" t="str">
            <v>S0040</v>
          </cell>
          <cell r="N252" t="str">
            <v>Kamil SPŁAWIŃSKI (Dubiecko)</v>
          </cell>
        </row>
        <row r="253">
          <cell r="A253" t="str">
            <v/>
          </cell>
          <cell r="B253" t="str">
            <v/>
          </cell>
          <cell r="H253" t="str">
            <v/>
          </cell>
          <cell r="K253" t="str">
            <v/>
          </cell>
          <cell r="N253" t="str">
            <v/>
          </cell>
        </row>
        <row r="255">
          <cell r="B255" t="str">
            <v/>
          </cell>
          <cell r="K255" t="str">
            <v>zwycięzca(cy): 21:11,21:16</v>
          </cell>
        </row>
        <row r="256">
          <cell r="B256">
            <v>37</v>
          </cell>
          <cell r="C256" t="str">
            <v>dzień turnieju.</v>
          </cell>
          <cell r="I256" t="str">
            <v>Nr meczu</v>
          </cell>
          <cell r="N256" t="str">
            <v>Godz.</v>
          </cell>
          <cell r="R256" t="str">
            <v>S. prow.</v>
          </cell>
          <cell r="AF256" t="str">
            <v>wygrany</v>
          </cell>
          <cell r="AG256" t="str">
            <v>przegrany</v>
          </cell>
        </row>
        <row r="257">
          <cell r="B257" t="str">
            <v>Boisko</v>
          </cell>
          <cell r="C257" t="str">
            <v>Gra</v>
          </cell>
          <cell r="I257">
            <v>37</v>
          </cell>
          <cell r="N257" t="str">
            <v>rozp.</v>
          </cell>
          <cell r="P257" t="str">
            <v>zak.</v>
          </cell>
          <cell r="R257" t="str">
            <v>S. serw.</v>
          </cell>
        </row>
        <row r="258">
          <cell r="A258">
            <v>37</v>
          </cell>
          <cell r="C258" t="str">
            <v>Runners Up</v>
          </cell>
          <cell r="H258">
            <v>21</v>
          </cell>
          <cell r="I258">
            <v>10</v>
          </cell>
          <cell r="J258">
            <v>21</v>
          </cell>
          <cell r="K258">
            <v>11</v>
          </cell>
          <cell r="R258">
            <v>0</v>
          </cell>
          <cell r="S258" t="str">
            <v>godz.12:00</v>
          </cell>
          <cell r="X258">
            <v>37</v>
          </cell>
          <cell r="Y258" t="str">
            <v>Runners Up</v>
          </cell>
          <cell r="Z258" t="str">
            <v>N0002</v>
          </cell>
          <cell r="AA258" t="str">
            <v/>
          </cell>
          <cell r="AB258" t="str">
            <v>G0015</v>
          </cell>
          <cell r="AC258" t="str">
            <v/>
          </cell>
          <cell r="AD258" t="str">
            <v>N0002</v>
          </cell>
          <cell r="AE258" t="str">
            <v/>
          </cell>
          <cell r="AF258" t="str">
            <v>21:10,21:11</v>
          </cell>
          <cell r="AG258" t="str">
            <v>10:21,11:21</v>
          </cell>
          <cell r="AH258" t="str">
            <v/>
          </cell>
          <cell r="AI258">
            <v>21</v>
          </cell>
          <cell r="AJ258">
            <v>10</v>
          </cell>
          <cell r="AK258">
            <v>21</v>
          </cell>
          <cell r="AL258">
            <v>11</v>
          </cell>
          <cell r="AM258">
            <v>0</v>
          </cell>
          <cell r="AN258">
            <v>0</v>
          </cell>
        </row>
        <row r="259">
          <cell r="A259" t="str">
            <v/>
          </cell>
          <cell r="B259" t="str">
            <v>Robert NOWAK (Mielec)</v>
          </cell>
          <cell r="H259" t="str">
            <v>N0002</v>
          </cell>
          <cell r="K259" t="str">
            <v>G0015</v>
          </cell>
          <cell r="N259" t="str">
            <v>Piotr GŁOWACKI (Tarnowiec)</v>
          </cell>
        </row>
        <row r="260">
          <cell r="A260" t="str">
            <v/>
          </cell>
          <cell r="B260" t="str">
            <v/>
          </cell>
          <cell r="H260" t="str">
            <v/>
          </cell>
          <cell r="K260" t="str">
            <v/>
          </cell>
          <cell r="N260" t="str">
            <v/>
          </cell>
        </row>
        <row r="262">
          <cell r="B262" t="str">
            <v>zwycięzca(cy): 21:10,21:11</v>
          </cell>
          <cell r="K262" t="str">
            <v/>
          </cell>
        </row>
        <row r="263">
          <cell r="B263">
            <v>38</v>
          </cell>
          <cell r="C263" t="str">
            <v>dzień turnieju.</v>
          </cell>
          <cell r="I263" t="str">
            <v>Nr meczu</v>
          </cell>
          <cell r="N263" t="str">
            <v>Godz.</v>
          </cell>
          <cell r="R263" t="str">
            <v>S. prow.</v>
          </cell>
          <cell r="AF263" t="str">
            <v>wygrany</v>
          </cell>
          <cell r="AG263" t="str">
            <v>przegrany</v>
          </cell>
        </row>
        <row r="264">
          <cell r="B264" t="str">
            <v>Boisko</v>
          </cell>
          <cell r="C264" t="str">
            <v>Gra</v>
          </cell>
          <cell r="I264">
            <v>38</v>
          </cell>
          <cell r="N264" t="str">
            <v>rozp.</v>
          </cell>
          <cell r="P264" t="str">
            <v>zak.</v>
          </cell>
          <cell r="R264" t="str">
            <v>S. serw.</v>
          </cell>
        </row>
        <row r="265">
          <cell r="A265">
            <v>38</v>
          </cell>
          <cell r="C265" t="str">
            <v>Runners Up</v>
          </cell>
          <cell r="H265">
            <v>10</v>
          </cell>
          <cell r="I265">
            <v>21</v>
          </cell>
          <cell r="J265">
            <v>13</v>
          </cell>
          <cell r="K265">
            <v>21</v>
          </cell>
          <cell r="R265">
            <v>0</v>
          </cell>
          <cell r="S265" t="str">
            <v>godz.12:00</v>
          </cell>
          <cell r="X265">
            <v>38</v>
          </cell>
          <cell r="Y265" t="str">
            <v>Runners Up</v>
          </cell>
          <cell r="Z265" t="str">
            <v>W0014</v>
          </cell>
          <cell r="AA265" t="str">
            <v/>
          </cell>
          <cell r="AB265" t="str">
            <v>B0021</v>
          </cell>
          <cell r="AC265" t="str">
            <v/>
          </cell>
          <cell r="AD265" t="str">
            <v>B0021</v>
          </cell>
          <cell r="AE265" t="str">
            <v/>
          </cell>
          <cell r="AF265" t="str">
            <v>21:10,21:13</v>
          </cell>
          <cell r="AG265" t="str">
            <v>10:21,13:21</v>
          </cell>
          <cell r="AH265" t="str">
            <v/>
          </cell>
          <cell r="AI265">
            <v>10</v>
          </cell>
          <cell r="AJ265">
            <v>21</v>
          </cell>
          <cell r="AK265">
            <v>13</v>
          </cell>
          <cell r="AL265">
            <v>21</v>
          </cell>
          <cell r="AM265">
            <v>0</v>
          </cell>
          <cell r="AN265">
            <v>0</v>
          </cell>
        </row>
        <row r="266">
          <cell r="A266" t="str">
            <v/>
          </cell>
          <cell r="B266" t="str">
            <v>Mariusz  WARNECKI (Rzeszów)</v>
          </cell>
          <cell r="H266" t="str">
            <v>W0014</v>
          </cell>
          <cell r="K266" t="str">
            <v>B0021</v>
          </cell>
          <cell r="N266" t="str">
            <v>Krystian BUKOWIŃSKI (Dubiecko)</v>
          </cell>
        </row>
        <row r="267">
          <cell r="A267" t="str">
            <v/>
          </cell>
          <cell r="B267" t="str">
            <v/>
          </cell>
          <cell r="H267" t="str">
            <v/>
          </cell>
          <cell r="K267" t="str">
            <v/>
          </cell>
          <cell r="N267" t="str">
            <v/>
          </cell>
        </row>
        <row r="269">
          <cell r="B269" t="str">
            <v/>
          </cell>
          <cell r="K269" t="str">
            <v>zwycięzca(cy): 21:10,21:13</v>
          </cell>
        </row>
        <row r="270">
          <cell r="B270">
            <v>39</v>
          </cell>
          <cell r="C270" t="str">
            <v>dzień turnieju.</v>
          </cell>
          <cell r="I270" t="str">
            <v>Nr meczu</v>
          </cell>
          <cell r="N270" t="str">
            <v>Godz.</v>
          </cell>
          <cell r="R270" t="str">
            <v>S. prow.</v>
          </cell>
          <cell r="AF270" t="str">
            <v>wygrany</v>
          </cell>
          <cell r="AG270" t="str">
            <v>przegrany</v>
          </cell>
        </row>
        <row r="271">
          <cell r="B271" t="str">
            <v>Boisko</v>
          </cell>
          <cell r="C271" t="str">
            <v>Gra</v>
          </cell>
          <cell r="I271">
            <v>39</v>
          </cell>
          <cell r="N271" t="str">
            <v>rozp.</v>
          </cell>
          <cell r="P271" t="str">
            <v>zak.</v>
          </cell>
          <cell r="R271" t="str">
            <v>S. serw.</v>
          </cell>
        </row>
        <row r="272">
          <cell r="A272">
            <v>39</v>
          </cell>
          <cell r="C272" t="str">
            <v>Runners Up</v>
          </cell>
          <cell r="H272">
            <v>21</v>
          </cell>
          <cell r="I272">
            <v>8</v>
          </cell>
          <cell r="J272">
            <v>21</v>
          </cell>
          <cell r="K272">
            <v>11</v>
          </cell>
          <cell r="R272">
            <v>0</v>
          </cell>
          <cell r="S272" t="str">
            <v>godz.12:00</v>
          </cell>
          <cell r="X272">
            <v>39</v>
          </cell>
          <cell r="Y272" t="str">
            <v>Runners Up</v>
          </cell>
          <cell r="Z272" t="str">
            <v>S0020</v>
          </cell>
          <cell r="AA272" t="str">
            <v/>
          </cell>
          <cell r="AB272" t="str">
            <v>O0004</v>
          </cell>
          <cell r="AC272" t="str">
            <v/>
          </cell>
          <cell r="AD272" t="str">
            <v>S0020</v>
          </cell>
          <cell r="AE272" t="str">
            <v/>
          </cell>
          <cell r="AF272" t="str">
            <v>21:8,21:11</v>
          </cell>
          <cell r="AG272" t="str">
            <v>8:21,11:21</v>
          </cell>
          <cell r="AH272" t="str">
            <v/>
          </cell>
          <cell r="AI272">
            <v>21</v>
          </cell>
          <cell r="AJ272">
            <v>8</v>
          </cell>
          <cell r="AK272">
            <v>21</v>
          </cell>
          <cell r="AL272">
            <v>11</v>
          </cell>
          <cell r="AM272">
            <v>0</v>
          </cell>
          <cell r="AN272">
            <v>0</v>
          </cell>
        </row>
        <row r="273">
          <cell r="A273" t="str">
            <v/>
          </cell>
          <cell r="B273" t="str">
            <v>Mariusz SŁOMBA (Mielec)</v>
          </cell>
          <cell r="H273" t="str">
            <v>S0020</v>
          </cell>
          <cell r="K273" t="str">
            <v>O0004</v>
          </cell>
          <cell r="N273" t="str">
            <v>Krzysztof ORZECHOWICZ (Tarnowiec)</v>
          </cell>
        </row>
        <row r="274">
          <cell r="A274" t="str">
            <v/>
          </cell>
          <cell r="B274" t="str">
            <v/>
          </cell>
          <cell r="H274" t="str">
            <v/>
          </cell>
          <cell r="K274" t="str">
            <v/>
          </cell>
          <cell r="N274" t="str">
            <v/>
          </cell>
        </row>
        <row r="276">
          <cell r="B276" t="str">
            <v>zwycięzca(cy): 21:8,21:11</v>
          </cell>
          <cell r="K276" t="str">
            <v/>
          </cell>
        </row>
        <row r="277">
          <cell r="B277">
            <v>40</v>
          </cell>
          <cell r="C277" t="str">
            <v>dzień turnieju.</v>
          </cell>
          <cell r="I277" t="str">
            <v>Nr meczu</v>
          </cell>
          <cell r="N277" t="str">
            <v>Godz.</v>
          </cell>
          <cell r="R277" t="str">
            <v>S. prow.</v>
          </cell>
          <cell r="AF277" t="str">
            <v>wygrany</v>
          </cell>
          <cell r="AG277" t="str">
            <v>przegrany</v>
          </cell>
        </row>
        <row r="278">
          <cell r="B278" t="str">
            <v>Boisko</v>
          </cell>
          <cell r="C278" t="str">
            <v>Gra</v>
          </cell>
          <cell r="I278">
            <v>40</v>
          </cell>
          <cell r="N278" t="str">
            <v>rozp.</v>
          </cell>
          <cell r="P278" t="str">
            <v>zak.</v>
          </cell>
          <cell r="R278" t="str">
            <v>S. serw.</v>
          </cell>
        </row>
        <row r="279">
          <cell r="A279">
            <v>40</v>
          </cell>
          <cell r="C279" t="str">
            <v>Runners Up</v>
          </cell>
          <cell r="H279">
            <v>19</v>
          </cell>
          <cell r="I279">
            <v>21</v>
          </cell>
          <cell r="J279">
            <v>21</v>
          </cell>
          <cell r="K279">
            <v>11</v>
          </cell>
          <cell r="L279">
            <v>21</v>
          </cell>
          <cell r="M279">
            <v>18</v>
          </cell>
          <cell r="R279">
            <v>0</v>
          </cell>
          <cell r="S279" t="str">
            <v>godz.12:00</v>
          </cell>
          <cell r="X279">
            <v>40</v>
          </cell>
          <cell r="Y279" t="str">
            <v>Runners Up</v>
          </cell>
          <cell r="Z279" t="str">
            <v>M0008</v>
          </cell>
          <cell r="AA279" t="str">
            <v/>
          </cell>
          <cell r="AB279" t="str">
            <v>S0040</v>
          </cell>
          <cell r="AC279" t="str">
            <v/>
          </cell>
          <cell r="AD279" t="str">
            <v>M0008</v>
          </cell>
          <cell r="AE279" t="str">
            <v/>
          </cell>
          <cell r="AF279" t="str">
            <v>19:21,21:11,21:18</v>
          </cell>
          <cell r="AG279" t="str">
            <v>21:19,11:21,18:21</v>
          </cell>
          <cell r="AH279" t="str">
            <v/>
          </cell>
          <cell r="AI279">
            <v>19</v>
          </cell>
          <cell r="AJ279">
            <v>21</v>
          </cell>
          <cell r="AK279">
            <v>21</v>
          </cell>
          <cell r="AL279">
            <v>11</v>
          </cell>
          <cell r="AM279">
            <v>21</v>
          </cell>
          <cell r="AN279">
            <v>18</v>
          </cell>
        </row>
        <row r="280">
          <cell r="A280" t="str">
            <v/>
          </cell>
          <cell r="B280" t="str">
            <v>Tadeusz MICHALIK (Tarnów)</v>
          </cell>
          <cell r="H280" t="str">
            <v>M0008</v>
          </cell>
          <cell r="K280" t="str">
            <v>S0040</v>
          </cell>
          <cell r="N280" t="str">
            <v>Kamil SPŁAWIŃSKI (Dubiecko)</v>
          </cell>
        </row>
        <row r="281">
          <cell r="A281" t="str">
            <v/>
          </cell>
          <cell r="B281" t="str">
            <v/>
          </cell>
          <cell r="H281" t="str">
            <v/>
          </cell>
          <cell r="K281" t="str">
            <v/>
          </cell>
          <cell r="N281" t="str">
            <v/>
          </cell>
        </row>
        <row r="283">
          <cell r="B283" t="str">
            <v>zwycięzca(cy): 19:21,21:11,21:18</v>
          </cell>
          <cell r="K283" t="str">
            <v/>
          </cell>
        </row>
        <row r="284">
          <cell r="B284">
            <v>41</v>
          </cell>
          <cell r="C284" t="str">
            <v>dzień turnieju.</v>
          </cell>
          <cell r="I284" t="str">
            <v>Nr meczu</v>
          </cell>
          <cell r="N284" t="str">
            <v>Godz.</v>
          </cell>
          <cell r="R284" t="str">
            <v>S. prow.</v>
          </cell>
          <cell r="AF284" t="str">
            <v>wygrany</v>
          </cell>
          <cell r="AG284" t="str">
            <v>przegrany</v>
          </cell>
        </row>
        <row r="285">
          <cell r="B285" t="str">
            <v>Boisko</v>
          </cell>
          <cell r="C285" t="str">
            <v>Gra</v>
          </cell>
          <cell r="I285">
            <v>41</v>
          </cell>
          <cell r="N285" t="str">
            <v>rozp.</v>
          </cell>
          <cell r="P285" t="str">
            <v>zak.</v>
          </cell>
          <cell r="R285" t="str">
            <v>S. serw.</v>
          </cell>
        </row>
        <row r="286">
          <cell r="A286">
            <v>41</v>
          </cell>
          <cell r="C286" t="str">
            <v>Runners Up</v>
          </cell>
          <cell r="H286">
            <v>19</v>
          </cell>
          <cell r="I286">
            <v>21</v>
          </cell>
          <cell r="J286">
            <v>14</v>
          </cell>
          <cell r="K286">
            <v>21</v>
          </cell>
          <cell r="R286">
            <v>0</v>
          </cell>
          <cell r="S286" t="str">
            <v>godz.12:20</v>
          </cell>
          <cell r="X286">
            <v>41</v>
          </cell>
          <cell r="Y286" t="str">
            <v>Runners Up</v>
          </cell>
          <cell r="Z286" t="str">
            <v>K0038</v>
          </cell>
          <cell r="AA286" t="str">
            <v/>
          </cell>
          <cell r="AB286" t="str">
            <v>G0017</v>
          </cell>
          <cell r="AC286" t="str">
            <v/>
          </cell>
          <cell r="AD286" t="str">
            <v>G0017</v>
          </cell>
          <cell r="AE286" t="str">
            <v/>
          </cell>
          <cell r="AF286" t="str">
            <v>21:19,21:14</v>
          </cell>
          <cell r="AG286" t="str">
            <v>19:21,14:21</v>
          </cell>
          <cell r="AH286" t="str">
            <v/>
          </cell>
          <cell r="AI286">
            <v>19</v>
          </cell>
          <cell r="AJ286">
            <v>21</v>
          </cell>
          <cell r="AK286">
            <v>14</v>
          </cell>
          <cell r="AL286">
            <v>21</v>
          </cell>
          <cell r="AM286">
            <v>0</v>
          </cell>
          <cell r="AN286">
            <v>0</v>
          </cell>
        </row>
        <row r="287">
          <cell r="A287" t="str">
            <v/>
          </cell>
          <cell r="B287" t="str">
            <v>Wojciech KWOLEK (Mielec)</v>
          </cell>
          <cell r="H287" t="str">
            <v>K0038</v>
          </cell>
          <cell r="K287" t="str">
            <v>G0017</v>
          </cell>
          <cell r="N287" t="str">
            <v>Grzegorz GODZWON (Rzeszów)</v>
          </cell>
        </row>
        <row r="288">
          <cell r="A288" t="str">
            <v/>
          </cell>
          <cell r="B288" t="str">
            <v/>
          </cell>
          <cell r="H288" t="str">
            <v/>
          </cell>
          <cell r="K288" t="str">
            <v/>
          </cell>
          <cell r="N288" t="str">
            <v/>
          </cell>
        </row>
        <row r="290">
          <cell r="B290" t="str">
            <v/>
          </cell>
          <cell r="K290" t="str">
            <v>zwycięzca(cy): 21:19,21:14</v>
          </cell>
        </row>
        <row r="291">
          <cell r="B291">
            <v>42</v>
          </cell>
          <cell r="C291" t="str">
            <v>dzień turnieju.</v>
          </cell>
          <cell r="I291" t="str">
            <v>Nr meczu</v>
          </cell>
          <cell r="N291" t="str">
            <v>Godz.</v>
          </cell>
          <cell r="R291" t="str">
            <v>S. prow.</v>
          </cell>
          <cell r="AF291" t="str">
            <v>wygrany</v>
          </cell>
          <cell r="AG291" t="str">
            <v>przegrany</v>
          </cell>
        </row>
        <row r="292">
          <cell r="B292" t="str">
            <v>Boisko</v>
          </cell>
          <cell r="C292" t="str">
            <v>Gra</v>
          </cell>
          <cell r="I292">
            <v>42</v>
          </cell>
          <cell r="N292" t="str">
            <v>rozp.</v>
          </cell>
          <cell r="P292" t="str">
            <v>zak.</v>
          </cell>
          <cell r="R292" t="str">
            <v>S. serw.</v>
          </cell>
        </row>
        <row r="293">
          <cell r="A293">
            <v>42</v>
          </cell>
          <cell r="C293" t="str">
            <v>Runners Up</v>
          </cell>
          <cell r="H293">
            <v>21</v>
          </cell>
          <cell r="I293">
            <v>13</v>
          </cell>
          <cell r="J293">
            <v>21</v>
          </cell>
          <cell r="K293">
            <v>14</v>
          </cell>
          <cell r="R293">
            <v>0</v>
          </cell>
          <cell r="S293" t="str">
            <v>godz.12:20</v>
          </cell>
          <cell r="X293">
            <v>42</v>
          </cell>
          <cell r="Y293" t="str">
            <v>Runners Up</v>
          </cell>
          <cell r="Z293" t="str">
            <v>B0021</v>
          </cell>
          <cell r="AA293" t="str">
            <v/>
          </cell>
          <cell r="AB293" t="str">
            <v>G0015</v>
          </cell>
          <cell r="AC293" t="str">
            <v/>
          </cell>
          <cell r="AD293" t="str">
            <v>B0021</v>
          </cell>
          <cell r="AE293" t="str">
            <v/>
          </cell>
          <cell r="AF293" t="str">
            <v>21:13,21:14</v>
          </cell>
          <cell r="AG293" t="str">
            <v>13:21,14:21</v>
          </cell>
          <cell r="AH293" t="str">
            <v/>
          </cell>
          <cell r="AI293">
            <v>21</v>
          </cell>
          <cell r="AJ293">
            <v>13</v>
          </cell>
          <cell r="AK293">
            <v>21</v>
          </cell>
          <cell r="AL293">
            <v>14</v>
          </cell>
          <cell r="AM293">
            <v>0</v>
          </cell>
          <cell r="AN293">
            <v>0</v>
          </cell>
        </row>
        <row r="294">
          <cell r="A294" t="str">
            <v/>
          </cell>
          <cell r="B294" t="str">
            <v>Krystian BUKOWIŃSKI (Dubiecko)</v>
          </cell>
          <cell r="H294" t="str">
            <v>B0021</v>
          </cell>
          <cell r="K294" t="str">
            <v>G0015</v>
          </cell>
          <cell r="N294" t="str">
            <v>Piotr GŁOWACKI (Tarnowiec)</v>
          </cell>
        </row>
        <row r="295">
          <cell r="A295" t="str">
            <v/>
          </cell>
          <cell r="B295" t="str">
            <v/>
          </cell>
          <cell r="H295" t="str">
            <v/>
          </cell>
          <cell r="K295" t="str">
            <v/>
          </cell>
          <cell r="N295" t="str">
            <v/>
          </cell>
        </row>
        <row r="297">
          <cell r="B297" t="str">
            <v>zwycięzca(cy): 21:13,21:14</v>
          </cell>
          <cell r="K297" t="str">
            <v/>
          </cell>
        </row>
        <row r="298">
          <cell r="B298">
            <v>43</v>
          </cell>
          <cell r="C298" t="str">
            <v>dzień turnieju.</v>
          </cell>
          <cell r="I298" t="str">
            <v>Nr meczu</v>
          </cell>
          <cell r="N298" t="str">
            <v>Godz.</v>
          </cell>
          <cell r="R298" t="str">
            <v>S. prow.</v>
          </cell>
          <cell r="AF298" t="str">
            <v>wygrany</v>
          </cell>
          <cell r="AG298" t="str">
            <v>przegrany</v>
          </cell>
        </row>
        <row r="299">
          <cell r="B299" t="str">
            <v>Boisko</v>
          </cell>
          <cell r="C299" t="str">
            <v>Gra</v>
          </cell>
          <cell r="I299">
            <v>43</v>
          </cell>
          <cell r="N299" t="str">
            <v>rozp.</v>
          </cell>
          <cell r="P299" t="str">
            <v>zak.</v>
          </cell>
          <cell r="R299" t="str">
            <v>S. serw.</v>
          </cell>
        </row>
        <row r="300">
          <cell r="A300">
            <v>43</v>
          </cell>
          <cell r="C300" t="str">
            <v>Runners Up</v>
          </cell>
          <cell r="H300">
            <v>21</v>
          </cell>
          <cell r="I300">
            <v>11</v>
          </cell>
          <cell r="J300">
            <v>21</v>
          </cell>
          <cell r="K300">
            <v>8</v>
          </cell>
          <cell r="R300">
            <v>0</v>
          </cell>
          <cell r="S300" t="str">
            <v>godz.12:20</v>
          </cell>
          <cell r="X300">
            <v>43</v>
          </cell>
          <cell r="Y300" t="str">
            <v>Runners Up</v>
          </cell>
          <cell r="Z300" t="str">
            <v>N0002</v>
          </cell>
          <cell r="AA300" t="str">
            <v/>
          </cell>
          <cell r="AB300" t="str">
            <v>W0014</v>
          </cell>
          <cell r="AC300" t="str">
            <v/>
          </cell>
          <cell r="AD300" t="str">
            <v>N0002</v>
          </cell>
          <cell r="AE300" t="str">
            <v/>
          </cell>
          <cell r="AF300" t="str">
            <v>21:11,21:8</v>
          </cell>
          <cell r="AG300" t="str">
            <v>11:21,8:21</v>
          </cell>
          <cell r="AH300" t="str">
            <v/>
          </cell>
          <cell r="AI300">
            <v>21</v>
          </cell>
          <cell r="AJ300">
            <v>11</v>
          </cell>
          <cell r="AK300">
            <v>21</v>
          </cell>
          <cell r="AL300">
            <v>8</v>
          </cell>
          <cell r="AM300">
            <v>0</v>
          </cell>
          <cell r="AN300">
            <v>0</v>
          </cell>
        </row>
        <row r="301">
          <cell r="A301" t="str">
            <v/>
          </cell>
          <cell r="B301" t="str">
            <v>Robert NOWAK (Mielec)</v>
          </cell>
          <cell r="H301" t="str">
            <v>N0002</v>
          </cell>
          <cell r="K301" t="str">
            <v>W0014</v>
          </cell>
          <cell r="N301" t="str">
            <v>Mariusz  WARNECKI (Rzeszów)</v>
          </cell>
        </row>
        <row r="302">
          <cell r="A302" t="str">
            <v/>
          </cell>
          <cell r="B302" t="str">
            <v/>
          </cell>
          <cell r="H302" t="str">
            <v/>
          </cell>
          <cell r="K302" t="str">
            <v/>
          </cell>
          <cell r="N302" t="str">
            <v/>
          </cell>
        </row>
        <row r="304">
          <cell r="B304" t="str">
            <v>zwycięzca(cy): 21:11,21:8</v>
          </cell>
          <cell r="K304" t="str">
            <v/>
          </cell>
        </row>
        <row r="305">
          <cell r="B305">
            <v>44</v>
          </cell>
          <cell r="C305" t="str">
            <v>dzień turnieju.</v>
          </cell>
          <cell r="I305" t="str">
            <v>Nr meczu</v>
          </cell>
          <cell r="N305" t="str">
            <v>Godz.</v>
          </cell>
          <cell r="R305" t="str">
            <v>S. prow.</v>
          </cell>
          <cell r="AF305" t="str">
            <v>wygrany</v>
          </cell>
          <cell r="AG305" t="str">
            <v>przegrany</v>
          </cell>
        </row>
        <row r="306">
          <cell r="B306" t="str">
            <v>Boisko</v>
          </cell>
          <cell r="C306" t="str">
            <v>Gra</v>
          </cell>
          <cell r="I306">
            <v>44</v>
          </cell>
          <cell r="N306" t="str">
            <v>rozp.</v>
          </cell>
          <cell r="P306" t="str">
            <v>zak.</v>
          </cell>
          <cell r="R306" t="str">
            <v>S. serw.</v>
          </cell>
        </row>
        <row r="307">
          <cell r="A307">
            <v>44</v>
          </cell>
          <cell r="C307" t="str">
            <v>Runners Up</v>
          </cell>
          <cell r="H307">
            <v>19</v>
          </cell>
          <cell r="I307">
            <v>21</v>
          </cell>
          <cell r="J307">
            <v>22</v>
          </cell>
          <cell r="K307">
            <v>20</v>
          </cell>
          <cell r="L307">
            <v>17</v>
          </cell>
          <cell r="M307">
            <v>21</v>
          </cell>
          <cell r="R307">
            <v>0</v>
          </cell>
          <cell r="S307" t="str">
            <v>godz.12:20</v>
          </cell>
          <cell r="X307">
            <v>44</v>
          </cell>
          <cell r="Y307" t="str">
            <v>Runners Up</v>
          </cell>
          <cell r="Z307" t="str">
            <v>K0012</v>
          </cell>
          <cell r="AA307" t="str">
            <v/>
          </cell>
          <cell r="AB307" t="str">
            <v>S0020</v>
          </cell>
          <cell r="AC307" t="str">
            <v/>
          </cell>
          <cell r="AD307" t="str">
            <v>S0020</v>
          </cell>
          <cell r="AE307" t="str">
            <v/>
          </cell>
          <cell r="AF307" t="str">
            <v>21:19,20:22,21:17</v>
          </cell>
          <cell r="AG307" t="str">
            <v>19:21,22:20,17:21</v>
          </cell>
          <cell r="AH307" t="str">
            <v/>
          </cell>
          <cell r="AI307">
            <v>19</v>
          </cell>
          <cell r="AJ307">
            <v>21</v>
          </cell>
          <cell r="AK307">
            <v>22</v>
          </cell>
          <cell r="AL307">
            <v>20</v>
          </cell>
          <cell r="AM307">
            <v>17</v>
          </cell>
          <cell r="AN307">
            <v>21</v>
          </cell>
        </row>
        <row r="308">
          <cell r="A308" t="str">
            <v/>
          </cell>
          <cell r="B308" t="str">
            <v>Piotr KOTERBA (Rzeszów)</v>
          </cell>
          <cell r="H308" t="str">
            <v>K0012</v>
          </cell>
          <cell r="K308" t="str">
            <v>S0020</v>
          </cell>
          <cell r="N308" t="str">
            <v>Mariusz SŁOMBA (Mielec)</v>
          </cell>
        </row>
        <row r="309">
          <cell r="A309" t="str">
            <v/>
          </cell>
          <cell r="B309" t="str">
            <v/>
          </cell>
          <cell r="H309" t="str">
            <v/>
          </cell>
          <cell r="K309" t="str">
            <v/>
          </cell>
          <cell r="N309" t="str">
            <v/>
          </cell>
        </row>
        <row r="311">
          <cell r="B311" t="str">
            <v/>
          </cell>
          <cell r="K311" t="str">
            <v>zwycięzca(cy): 21:19,20:22,21:17</v>
          </cell>
        </row>
        <row r="312">
          <cell r="B312">
            <v>45</v>
          </cell>
          <cell r="C312" t="str">
            <v>dzień turnieju.</v>
          </cell>
          <cell r="I312" t="str">
            <v>Nr meczu</v>
          </cell>
          <cell r="N312" t="str">
            <v>Godz.</v>
          </cell>
          <cell r="R312" t="str">
            <v>S. prow.</v>
          </cell>
          <cell r="AF312" t="str">
            <v>wygrany</v>
          </cell>
          <cell r="AG312" t="str">
            <v>przegrany</v>
          </cell>
        </row>
        <row r="313">
          <cell r="B313" t="str">
            <v>Boisko</v>
          </cell>
          <cell r="C313" t="str">
            <v>Gra</v>
          </cell>
          <cell r="I313">
            <v>45</v>
          </cell>
          <cell r="N313" t="str">
            <v>rozp.</v>
          </cell>
          <cell r="P313" t="str">
            <v>zak.</v>
          </cell>
          <cell r="R313" t="str">
            <v>S. serw.</v>
          </cell>
        </row>
        <row r="314">
          <cell r="A314">
            <v>45</v>
          </cell>
          <cell r="C314" t="str">
            <v>Runners Up</v>
          </cell>
          <cell r="H314">
            <v>14</v>
          </cell>
          <cell r="I314">
            <v>21</v>
          </cell>
          <cell r="J314">
            <v>11</v>
          </cell>
          <cell r="K314">
            <v>21</v>
          </cell>
          <cell r="R314">
            <v>0</v>
          </cell>
          <cell r="S314" t="str">
            <v>godz.12:40</v>
          </cell>
          <cell r="X314">
            <v>45</v>
          </cell>
          <cell r="Y314" t="str">
            <v>Runners Up</v>
          </cell>
          <cell r="Z314" t="str">
            <v>G0017</v>
          </cell>
          <cell r="AA314" t="str">
            <v/>
          </cell>
          <cell r="AB314" t="str">
            <v>S0040</v>
          </cell>
          <cell r="AC314" t="str">
            <v/>
          </cell>
          <cell r="AD314" t="str">
            <v>S0040</v>
          </cell>
          <cell r="AE314" t="str">
            <v/>
          </cell>
          <cell r="AF314" t="str">
            <v>21:14,21:11</v>
          </cell>
          <cell r="AG314" t="str">
            <v>14:21,11:21</v>
          </cell>
          <cell r="AH314" t="str">
            <v/>
          </cell>
          <cell r="AI314">
            <v>14</v>
          </cell>
          <cell r="AJ314">
            <v>21</v>
          </cell>
          <cell r="AK314">
            <v>11</v>
          </cell>
          <cell r="AL314">
            <v>21</v>
          </cell>
          <cell r="AM314">
            <v>0</v>
          </cell>
          <cell r="AN314">
            <v>0</v>
          </cell>
        </row>
        <row r="315">
          <cell r="A315" t="str">
            <v/>
          </cell>
          <cell r="B315" t="str">
            <v>Grzegorz GODZWON (Rzeszów)</v>
          </cell>
          <cell r="H315" t="str">
            <v>G0017</v>
          </cell>
          <cell r="K315" t="str">
            <v>S0040</v>
          </cell>
          <cell r="N315" t="str">
            <v>Kamil SPŁAWIŃSKI (Dubiecko)</v>
          </cell>
        </row>
        <row r="316">
          <cell r="A316" t="str">
            <v/>
          </cell>
          <cell r="B316" t="str">
            <v/>
          </cell>
          <cell r="H316" t="str">
            <v/>
          </cell>
          <cell r="K316" t="str">
            <v/>
          </cell>
          <cell r="N316" t="str">
            <v/>
          </cell>
        </row>
        <row r="318">
          <cell r="B318" t="str">
            <v/>
          </cell>
          <cell r="K318" t="str">
            <v>zwycięzca(cy): 21:14,21:11</v>
          </cell>
        </row>
        <row r="319">
          <cell r="B319">
            <v>46</v>
          </cell>
          <cell r="C319" t="str">
            <v>dzień turnieju.</v>
          </cell>
          <cell r="I319" t="str">
            <v>Nr meczu</v>
          </cell>
          <cell r="N319" t="str">
            <v>Godz.</v>
          </cell>
          <cell r="R319" t="str">
            <v>S. prow.</v>
          </cell>
          <cell r="AF319" t="str">
            <v>wygrany</v>
          </cell>
          <cell r="AG319" t="str">
            <v>przegrany</v>
          </cell>
        </row>
        <row r="320">
          <cell r="B320" t="str">
            <v>Boisko</v>
          </cell>
          <cell r="C320" t="str">
            <v>Gra</v>
          </cell>
          <cell r="I320">
            <v>46</v>
          </cell>
          <cell r="N320" t="str">
            <v>rozp.</v>
          </cell>
          <cell r="P320" t="str">
            <v>zak.</v>
          </cell>
          <cell r="R320" t="str">
            <v>S. serw.</v>
          </cell>
        </row>
        <row r="321">
          <cell r="A321">
            <v>46</v>
          </cell>
          <cell r="C321" t="str">
            <v>Runners Up</v>
          </cell>
          <cell r="H321">
            <v>21</v>
          </cell>
          <cell r="I321">
            <v>6</v>
          </cell>
          <cell r="J321">
            <v>21</v>
          </cell>
          <cell r="K321">
            <v>10</v>
          </cell>
          <cell r="R321">
            <v>0</v>
          </cell>
          <cell r="S321" t="str">
            <v>godz.12:40</v>
          </cell>
          <cell r="X321">
            <v>46</v>
          </cell>
          <cell r="Y321" t="str">
            <v>Runners Up</v>
          </cell>
          <cell r="Z321" t="str">
            <v>M0008</v>
          </cell>
          <cell r="AA321" t="str">
            <v/>
          </cell>
          <cell r="AB321" t="str">
            <v>K0038</v>
          </cell>
          <cell r="AC321" t="str">
            <v/>
          </cell>
          <cell r="AD321" t="str">
            <v>M0008</v>
          </cell>
          <cell r="AE321" t="str">
            <v/>
          </cell>
          <cell r="AF321" t="str">
            <v>21:6,21:10</v>
          </cell>
          <cell r="AG321" t="str">
            <v>6:21,10:21</v>
          </cell>
          <cell r="AH321" t="str">
            <v/>
          </cell>
          <cell r="AI321">
            <v>21</v>
          </cell>
          <cell r="AJ321">
            <v>6</v>
          </cell>
          <cell r="AK321">
            <v>21</v>
          </cell>
          <cell r="AL321">
            <v>10</v>
          </cell>
          <cell r="AM321">
            <v>0</v>
          </cell>
          <cell r="AN321">
            <v>0</v>
          </cell>
        </row>
        <row r="322">
          <cell r="A322" t="str">
            <v/>
          </cell>
          <cell r="B322" t="str">
            <v>Tadeusz MICHALIK (Tarnów)</v>
          </cell>
          <cell r="H322" t="str">
            <v>M0008</v>
          </cell>
          <cell r="K322" t="str">
            <v>K0038</v>
          </cell>
          <cell r="N322" t="str">
            <v>Wojciech KWOLEK (Mielec)</v>
          </cell>
        </row>
        <row r="323">
          <cell r="A323" t="str">
            <v/>
          </cell>
          <cell r="B323" t="str">
            <v/>
          </cell>
          <cell r="H323" t="str">
            <v/>
          </cell>
          <cell r="K323" t="str">
            <v/>
          </cell>
          <cell r="N323" t="str">
            <v/>
          </cell>
        </row>
        <row r="325">
          <cell r="B325" t="str">
            <v>zwycięzca(cy): 21:6,21:10</v>
          </cell>
          <cell r="K325" t="str">
            <v/>
          </cell>
        </row>
        <row r="326">
          <cell r="B326">
            <v>47</v>
          </cell>
          <cell r="C326" t="str">
            <v>dzień turnieju.</v>
          </cell>
          <cell r="I326" t="str">
            <v>Nr meczu</v>
          </cell>
          <cell r="N326" t="str">
            <v>Godz.</v>
          </cell>
          <cell r="R326" t="str">
            <v>S. prow.</v>
          </cell>
          <cell r="AF326" t="str">
            <v>wygrany</v>
          </cell>
          <cell r="AG326" t="str">
            <v>przegrany</v>
          </cell>
        </row>
        <row r="327">
          <cell r="B327" t="str">
            <v>Boisko</v>
          </cell>
          <cell r="C327" t="str">
            <v>Gra</v>
          </cell>
          <cell r="I327">
            <v>47</v>
          </cell>
          <cell r="N327" t="str">
            <v>rozp.</v>
          </cell>
          <cell r="P327" t="str">
            <v>zak.</v>
          </cell>
          <cell r="R327" t="str">
            <v>S. serw.</v>
          </cell>
        </row>
        <row r="328">
          <cell r="A328">
            <v>47</v>
          </cell>
          <cell r="C328" t="str">
            <v>Runners Up</v>
          </cell>
          <cell r="H328">
            <v>10</v>
          </cell>
          <cell r="I328">
            <v>21</v>
          </cell>
          <cell r="J328">
            <v>5</v>
          </cell>
          <cell r="K328">
            <v>21</v>
          </cell>
          <cell r="R328">
            <v>0</v>
          </cell>
          <cell r="S328" t="str">
            <v>godz.12:40</v>
          </cell>
          <cell r="X328">
            <v>47</v>
          </cell>
          <cell r="Y328" t="str">
            <v>Runners Up</v>
          </cell>
          <cell r="Z328" t="str">
            <v>S0040</v>
          </cell>
          <cell r="AA328" t="str">
            <v/>
          </cell>
          <cell r="AB328" t="str">
            <v>K0012</v>
          </cell>
          <cell r="AC328" t="str">
            <v/>
          </cell>
          <cell r="AD328" t="str">
            <v>K0012</v>
          </cell>
          <cell r="AE328" t="str">
            <v/>
          </cell>
          <cell r="AF328" t="str">
            <v>21:10,21:5</v>
          </cell>
          <cell r="AG328" t="str">
            <v>10:21,5:21</v>
          </cell>
          <cell r="AH328" t="str">
            <v/>
          </cell>
          <cell r="AI328">
            <v>10</v>
          </cell>
          <cell r="AJ328">
            <v>21</v>
          </cell>
          <cell r="AK328">
            <v>5</v>
          </cell>
          <cell r="AL328">
            <v>21</v>
          </cell>
          <cell r="AM328">
            <v>0</v>
          </cell>
          <cell r="AN328">
            <v>0</v>
          </cell>
        </row>
        <row r="329">
          <cell r="A329" t="str">
            <v/>
          </cell>
          <cell r="B329" t="str">
            <v>Kamil SPŁAWIŃSKI (Dubiecko)</v>
          </cell>
          <cell r="H329" t="str">
            <v>S0040</v>
          </cell>
          <cell r="K329" t="str">
            <v>K0012</v>
          </cell>
          <cell r="N329" t="str">
            <v>Piotr KOTERBA (Rzeszów)</v>
          </cell>
        </row>
        <row r="330">
          <cell r="A330" t="str">
            <v/>
          </cell>
          <cell r="B330" t="str">
            <v/>
          </cell>
          <cell r="H330" t="str">
            <v/>
          </cell>
          <cell r="K330" t="str">
            <v/>
          </cell>
          <cell r="N330" t="str">
            <v/>
          </cell>
        </row>
        <row r="332">
          <cell r="B332" t="str">
            <v/>
          </cell>
          <cell r="K332" t="str">
            <v>zwycięzca(cy): 21:10,21:5</v>
          </cell>
        </row>
        <row r="333">
          <cell r="B333">
            <v>48</v>
          </cell>
          <cell r="C333" t="str">
            <v>dzień turnieju.</v>
          </cell>
          <cell r="I333" t="str">
            <v>Nr meczu</v>
          </cell>
          <cell r="N333" t="str">
            <v>Godz.</v>
          </cell>
          <cell r="R333" t="str">
            <v>S. prow.</v>
          </cell>
          <cell r="AF333" t="str">
            <v>wygrany</v>
          </cell>
          <cell r="AG333" t="str">
            <v>przegrany</v>
          </cell>
        </row>
        <row r="334">
          <cell r="B334" t="str">
            <v>Boisko</v>
          </cell>
          <cell r="C334" t="str">
            <v>Gra</v>
          </cell>
          <cell r="I334">
            <v>48</v>
          </cell>
          <cell r="N334" t="str">
            <v>rozp.</v>
          </cell>
          <cell r="P334" t="str">
            <v>zak.</v>
          </cell>
          <cell r="R334" t="str">
            <v>S. serw.</v>
          </cell>
        </row>
        <row r="335">
          <cell r="A335">
            <v>48</v>
          </cell>
          <cell r="C335" t="str">
            <v>Runners Up</v>
          </cell>
          <cell r="H335">
            <v>8</v>
          </cell>
          <cell r="I335">
            <v>21</v>
          </cell>
          <cell r="J335">
            <v>18</v>
          </cell>
          <cell r="K335">
            <v>21</v>
          </cell>
          <cell r="R335">
            <v>0</v>
          </cell>
          <cell r="S335" t="str">
            <v>godz.12:40</v>
          </cell>
          <cell r="X335">
            <v>48</v>
          </cell>
          <cell r="Y335" t="str">
            <v>Runners Up</v>
          </cell>
          <cell r="Z335" t="str">
            <v>B0021</v>
          </cell>
          <cell r="AA335" t="str">
            <v/>
          </cell>
          <cell r="AB335" t="str">
            <v>S0020</v>
          </cell>
          <cell r="AC335" t="str">
            <v/>
          </cell>
          <cell r="AD335" t="str">
            <v>S0020</v>
          </cell>
          <cell r="AE335" t="str">
            <v/>
          </cell>
          <cell r="AF335" t="str">
            <v>21:8,21:18</v>
          </cell>
          <cell r="AG335" t="str">
            <v>8:21,18:21</v>
          </cell>
          <cell r="AH335" t="str">
            <v/>
          </cell>
          <cell r="AI335">
            <v>8</v>
          </cell>
          <cell r="AJ335">
            <v>21</v>
          </cell>
          <cell r="AK335">
            <v>18</v>
          </cell>
          <cell r="AL335">
            <v>21</v>
          </cell>
          <cell r="AM335">
            <v>0</v>
          </cell>
          <cell r="AN335">
            <v>0</v>
          </cell>
        </row>
        <row r="336">
          <cell r="A336" t="str">
            <v/>
          </cell>
          <cell r="B336" t="str">
            <v>Krystian BUKOWIŃSKI (Dubiecko)</v>
          </cell>
          <cell r="H336" t="str">
            <v>B0021</v>
          </cell>
          <cell r="K336" t="str">
            <v>S0020</v>
          </cell>
          <cell r="N336" t="str">
            <v>Mariusz SŁOMBA (Mielec)</v>
          </cell>
        </row>
        <row r="337">
          <cell r="A337" t="str">
            <v/>
          </cell>
          <cell r="B337" t="str">
            <v/>
          </cell>
          <cell r="H337" t="str">
            <v/>
          </cell>
          <cell r="K337" t="str">
            <v/>
          </cell>
          <cell r="N337" t="str">
            <v/>
          </cell>
        </row>
        <row r="339">
          <cell r="B339" t="str">
            <v/>
          </cell>
          <cell r="K339" t="str">
            <v>zwycięzca(cy): 21:8,21:18</v>
          </cell>
        </row>
        <row r="340">
          <cell r="B340">
            <v>49</v>
          </cell>
          <cell r="C340" t="str">
            <v>dzień turnieju.</v>
          </cell>
          <cell r="I340" t="str">
            <v>Nr meczu</v>
          </cell>
          <cell r="N340" t="str">
            <v>Godz.</v>
          </cell>
          <cell r="R340" t="str">
            <v>S. prow.</v>
          </cell>
          <cell r="AF340" t="str">
            <v>wygrany</v>
          </cell>
          <cell r="AG340" t="str">
            <v>przegrany</v>
          </cell>
        </row>
        <row r="341">
          <cell r="B341" t="str">
            <v>Boisko</v>
          </cell>
          <cell r="C341" t="str">
            <v>Gra</v>
          </cell>
          <cell r="I341">
            <v>49</v>
          </cell>
          <cell r="N341" t="str">
            <v>rozp.</v>
          </cell>
          <cell r="P341" t="str">
            <v>zak.</v>
          </cell>
          <cell r="R341" t="str">
            <v>S. serw.</v>
          </cell>
        </row>
        <row r="342">
          <cell r="A342">
            <v>49</v>
          </cell>
          <cell r="C342" t="str">
            <v>Runners Up</v>
          </cell>
          <cell r="H342">
            <v>21</v>
          </cell>
          <cell r="I342">
            <v>14</v>
          </cell>
          <cell r="J342">
            <v>21</v>
          </cell>
          <cell r="K342">
            <v>13</v>
          </cell>
          <cell r="R342">
            <v>0</v>
          </cell>
          <cell r="S342" t="str">
            <v>godz.13:00</v>
          </cell>
          <cell r="X342">
            <v>49</v>
          </cell>
          <cell r="Y342" t="str">
            <v>Runners Up</v>
          </cell>
          <cell r="Z342" t="str">
            <v>N0002</v>
          </cell>
          <cell r="AA342" t="str">
            <v/>
          </cell>
          <cell r="AB342" t="str">
            <v>K0012</v>
          </cell>
          <cell r="AC342" t="str">
            <v/>
          </cell>
          <cell r="AD342" t="str">
            <v>N0002</v>
          </cell>
          <cell r="AE342" t="str">
            <v/>
          </cell>
          <cell r="AF342" t="str">
            <v>21:14,21:13</v>
          </cell>
          <cell r="AG342" t="str">
            <v>14:21,13:21</v>
          </cell>
          <cell r="AH342" t="str">
            <v/>
          </cell>
          <cell r="AI342">
            <v>21</v>
          </cell>
          <cell r="AJ342">
            <v>14</v>
          </cell>
          <cell r="AK342">
            <v>21</v>
          </cell>
          <cell r="AL342">
            <v>13</v>
          </cell>
          <cell r="AM342">
            <v>0</v>
          </cell>
          <cell r="AN342">
            <v>0</v>
          </cell>
        </row>
        <row r="343">
          <cell r="A343" t="str">
            <v/>
          </cell>
          <cell r="B343" t="str">
            <v>Robert NOWAK (Mielec)</v>
          </cell>
          <cell r="H343" t="str">
            <v>N0002</v>
          </cell>
          <cell r="K343" t="str">
            <v>K0012</v>
          </cell>
          <cell r="N343" t="str">
            <v>Piotr KOTERBA (Rzeszów)</v>
          </cell>
        </row>
        <row r="344">
          <cell r="A344" t="str">
            <v/>
          </cell>
          <cell r="B344" t="str">
            <v/>
          </cell>
          <cell r="H344" t="str">
            <v/>
          </cell>
          <cell r="K344" t="str">
            <v/>
          </cell>
          <cell r="N344" t="str">
            <v/>
          </cell>
        </row>
        <row r="346">
          <cell r="B346" t="str">
            <v>zwycięzca(cy): 21:14,21:13</v>
          </cell>
          <cell r="K346" t="str">
            <v/>
          </cell>
        </row>
        <row r="347">
          <cell r="B347">
            <v>50</v>
          </cell>
          <cell r="C347" t="str">
            <v>dzień turnieju.</v>
          </cell>
          <cell r="I347" t="str">
            <v>Nr meczu</v>
          </cell>
          <cell r="N347" t="str">
            <v>Godz.</v>
          </cell>
          <cell r="R347" t="str">
            <v>S. prow.</v>
          </cell>
          <cell r="AF347" t="str">
            <v>wygrany</v>
          </cell>
          <cell r="AG347" t="str">
            <v>przegrany</v>
          </cell>
        </row>
        <row r="348">
          <cell r="B348" t="str">
            <v>Boisko</v>
          </cell>
          <cell r="C348" t="str">
            <v>Gra</v>
          </cell>
          <cell r="I348">
            <v>50</v>
          </cell>
          <cell r="N348" t="str">
            <v>rozp.</v>
          </cell>
          <cell r="P348" t="str">
            <v>zak.</v>
          </cell>
          <cell r="R348" t="str">
            <v>S. serw.</v>
          </cell>
        </row>
        <row r="349">
          <cell r="A349">
            <v>50</v>
          </cell>
          <cell r="C349" t="str">
            <v>Runners Up</v>
          </cell>
          <cell r="H349">
            <v>21</v>
          </cell>
          <cell r="I349">
            <v>16</v>
          </cell>
          <cell r="J349">
            <v>21</v>
          </cell>
          <cell r="K349">
            <v>18</v>
          </cell>
          <cell r="R349">
            <v>0</v>
          </cell>
          <cell r="S349" t="str">
            <v>godz.13:00</v>
          </cell>
          <cell r="X349">
            <v>50</v>
          </cell>
          <cell r="Y349" t="str">
            <v>Runners Up</v>
          </cell>
          <cell r="Z349" t="str">
            <v>S0020</v>
          </cell>
          <cell r="AA349" t="str">
            <v/>
          </cell>
          <cell r="AB349" t="str">
            <v>M0008</v>
          </cell>
          <cell r="AC349" t="str">
            <v/>
          </cell>
          <cell r="AD349" t="str">
            <v>S0020</v>
          </cell>
          <cell r="AE349" t="str">
            <v/>
          </cell>
          <cell r="AF349" t="str">
            <v>21:16,21:18</v>
          </cell>
          <cell r="AG349" t="str">
            <v>16:21,18:21</v>
          </cell>
          <cell r="AH349" t="str">
            <v/>
          </cell>
          <cell r="AI349">
            <v>21</v>
          </cell>
          <cell r="AJ349">
            <v>16</v>
          </cell>
          <cell r="AK349">
            <v>21</v>
          </cell>
          <cell r="AL349">
            <v>18</v>
          </cell>
          <cell r="AM349">
            <v>0</v>
          </cell>
          <cell r="AN349">
            <v>0</v>
          </cell>
        </row>
        <row r="350">
          <cell r="A350" t="str">
            <v/>
          </cell>
          <cell r="B350" t="str">
            <v>Mariusz SŁOMBA (Mielec)</v>
          </cell>
          <cell r="H350" t="str">
            <v>S0020</v>
          </cell>
          <cell r="K350" t="str">
            <v>M0008</v>
          </cell>
          <cell r="N350" t="str">
            <v>Tadeusz MICHALIK (Tarnów)</v>
          </cell>
        </row>
        <row r="351">
          <cell r="A351" t="str">
            <v/>
          </cell>
          <cell r="B351" t="str">
            <v/>
          </cell>
          <cell r="H351" t="str">
            <v/>
          </cell>
          <cell r="K351" t="str">
            <v/>
          </cell>
          <cell r="N351" t="str">
            <v/>
          </cell>
        </row>
        <row r="353">
          <cell r="B353" t="str">
            <v>zwycięzca(cy): 21:16,21:18</v>
          </cell>
          <cell r="K353" t="str">
            <v/>
          </cell>
        </row>
        <row r="354">
          <cell r="B354">
            <v>51</v>
          </cell>
          <cell r="C354" t="str">
            <v>dzień turnieju.</v>
          </cell>
          <cell r="I354" t="str">
            <v>Nr meczu</v>
          </cell>
          <cell r="N354" t="str">
            <v>Godz.</v>
          </cell>
          <cell r="R354" t="str">
            <v>S. prow.</v>
          </cell>
          <cell r="AF354" t="str">
            <v>wygrany</v>
          </cell>
          <cell r="AG354" t="str">
            <v>przegrany</v>
          </cell>
        </row>
        <row r="355">
          <cell r="B355" t="str">
            <v>Boisko</v>
          </cell>
          <cell r="C355" t="str">
            <v>Gra</v>
          </cell>
          <cell r="I355">
            <v>51</v>
          </cell>
          <cell r="N355" t="str">
            <v>rozp.</v>
          </cell>
          <cell r="P355" t="str">
            <v>zak.</v>
          </cell>
          <cell r="R355" t="str">
            <v>S. serw.</v>
          </cell>
        </row>
        <row r="356">
          <cell r="A356">
            <v>51</v>
          </cell>
          <cell r="C356" t="str">
            <v>Runners Up</v>
          </cell>
          <cell r="H356">
            <v>20</v>
          </cell>
          <cell r="I356">
            <v>22</v>
          </cell>
          <cell r="J356">
            <v>21</v>
          </cell>
          <cell r="K356">
            <v>17</v>
          </cell>
          <cell r="L356">
            <v>21</v>
          </cell>
          <cell r="M356">
            <v>17</v>
          </cell>
          <cell r="R356">
            <v>0</v>
          </cell>
          <cell r="S356" t="str">
            <v>godz.13:00</v>
          </cell>
          <cell r="X356">
            <v>51</v>
          </cell>
          <cell r="Y356" t="str">
            <v>Runners Up</v>
          </cell>
          <cell r="Z356" t="str">
            <v>K0012</v>
          </cell>
          <cell r="AA356" t="str">
            <v/>
          </cell>
          <cell r="AB356" t="str">
            <v>M0008</v>
          </cell>
          <cell r="AC356" t="str">
            <v/>
          </cell>
          <cell r="AD356" t="str">
            <v>K0012</v>
          </cell>
          <cell r="AE356" t="str">
            <v/>
          </cell>
          <cell r="AF356" t="str">
            <v>20:22,21:17,21:17</v>
          </cell>
          <cell r="AG356" t="str">
            <v>22:20,17:21,17:21</v>
          </cell>
          <cell r="AH356" t="str">
            <v/>
          </cell>
          <cell r="AI356">
            <v>20</v>
          </cell>
          <cell r="AJ356">
            <v>22</v>
          </cell>
          <cell r="AK356">
            <v>21</v>
          </cell>
          <cell r="AL356">
            <v>17</v>
          </cell>
          <cell r="AM356">
            <v>21</v>
          </cell>
          <cell r="AN356">
            <v>17</v>
          </cell>
        </row>
        <row r="357">
          <cell r="A357" t="str">
            <v/>
          </cell>
          <cell r="B357" t="str">
            <v>Piotr KOTERBA (Rzeszów)</v>
          </cell>
          <cell r="H357" t="str">
            <v>K0012</v>
          </cell>
          <cell r="K357" t="str">
            <v>M0008</v>
          </cell>
          <cell r="N357" t="str">
            <v>Tadeusz MICHALIK (Tarnów)</v>
          </cell>
        </row>
        <row r="358">
          <cell r="A358" t="str">
            <v/>
          </cell>
          <cell r="B358" t="str">
            <v/>
          </cell>
          <cell r="H358" t="str">
            <v/>
          </cell>
          <cell r="K358" t="str">
            <v/>
          </cell>
          <cell r="N358" t="str">
            <v/>
          </cell>
        </row>
        <row r="360">
          <cell r="B360" t="str">
            <v>zwycięzca(cy): 20:22,21:17,21:17</v>
          </cell>
          <cell r="K360" t="str">
            <v/>
          </cell>
        </row>
        <row r="361">
          <cell r="B361">
            <v>52</v>
          </cell>
          <cell r="C361" t="str">
            <v>dzień turnieju.</v>
          </cell>
          <cell r="I361" t="str">
            <v>Nr meczu</v>
          </cell>
          <cell r="N361" t="str">
            <v>Godz.</v>
          </cell>
          <cell r="R361" t="str">
            <v>S. prow.</v>
          </cell>
          <cell r="AF361" t="str">
            <v>wygrany</v>
          </cell>
          <cell r="AG361" t="str">
            <v>przegrany</v>
          </cell>
        </row>
        <row r="362">
          <cell r="B362" t="str">
            <v>Boisko</v>
          </cell>
          <cell r="C362" t="str">
            <v>Gra</v>
          </cell>
          <cell r="I362">
            <v>52</v>
          </cell>
          <cell r="N362" t="str">
            <v>rozp.</v>
          </cell>
          <cell r="P362" t="str">
            <v>zak.</v>
          </cell>
          <cell r="R362" t="str">
            <v>S. serw.</v>
          </cell>
        </row>
        <row r="363">
          <cell r="A363">
            <v>52</v>
          </cell>
          <cell r="C363" t="str">
            <v>Runners Up</v>
          </cell>
          <cell r="H363">
            <v>21</v>
          </cell>
          <cell r="I363">
            <v>17</v>
          </cell>
          <cell r="J363">
            <v>21</v>
          </cell>
          <cell r="K363">
            <v>12</v>
          </cell>
          <cell r="R363">
            <v>0</v>
          </cell>
          <cell r="S363" t="str">
            <v>godz.13:00</v>
          </cell>
          <cell r="X363">
            <v>52</v>
          </cell>
          <cell r="Y363" t="str">
            <v>Runners Up</v>
          </cell>
          <cell r="Z363" t="str">
            <v>N0002</v>
          </cell>
          <cell r="AA363" t="str">
            <v/>
          </cell>
          <cell r="AB363" t="str">
            <v>S0020</v>
          </cell>
          <cell r="AC363" t="str">
            <v/>
          </cell>
          <cell r="AD363" t="str">
            <v>N0002</v>
          </cell>
          <cell r="AE363" t="str">
            <v/>
          </cell>
          <cell r="AF363" t="str">
            <v>21:17,21:12</v>
          </cell>
          <cell r="AG363" t="str">
            <v>17:21,12:21</v>
          </cell>
          <cell r="AH363" t="str">
            <v/>
          </cell>
          <cell r="AI363">
            <v>21</v>
          </cell>
          <cell r="AJ363">
            <v>17</v>
          </cell>
          <cell r="AK363">
            <v>21</v>
          </cell>
          <cell r="AL363">
            <v>12</v>
          </cell>
          <cell r="AM363">
            <v>0</v>
          </cell>
          <cell r="AN363">
            <v>0</v>
          </cell>
        </row>
        <row r="364">
          <cell r="A364" t="str">
            <v/>
          </cell>
          <cell r="B364" t="str">
            <v>Robert NOWAK (Mielec)</v>
          </cell>
          <cell r="H364" t="str">
            <v>N0002</v>
          </cell>
          <cell r="K364" t="str">
            <v>S0020</v>
          </cell>
          <cell r="N364" t="str">
            <v>Mariusz SŁOMBA (Mielec)</v>
          </cell>
        </row>
        <row r="365">
          <cell r="A365" t="str">
            <v/>
          </cell>
          <cell r="B365" t="str">
            <v/>
          </cell>
          <cell r="H365" t="str">
            <v/>
          </cell>
          <cell r="K365" t="str">
            <v/>
          </cell>
          <cell r="N365" t="str">
            <v/>
          </cell>
        </row>
        <row r="367">
          <cell r="B367" t="str">
            <v>zwycięzca(cy): 21:17,21:12</v>
          </cell>
          <cell r="K367" t="str">
            <v/>
          </cell>
        </row>
        <row r="368">
          <cell r="B368">
            <v>53</v>
          </cell>
          <cell r="C368" t="str">
            <v>dzień turnieju.</v>
          </cell>
          <cell r="I368" t="str">
            <v>Nr meczu</v>
          </cell>
          <cell r="N368" t="str">
            <v>Godz.</v>
          </cell>
          <cell r="R368" t="str">
            <v>S. prow.</v>
          </cell>
          <cell r="AF368" t="str">
            <v>wygrany</v>
          </cell>
          <cell r="AG368" t="str">
            <v>przegrany</v>
          </cell>
        </row>
        <row r="369">
          <cell r="B369" t="str">
            <v>Boisko</v>
          </cell>
          <cell r="C369" t="str">
            <v>Gra</v>
          </cell>
          <cell r="I369">
            <v>53</v>
          </cell>
          <cell r="N369" t="str">
            <v>rozp.</v>
          </cell>
          <cell r="P369" t="str">
            <v>zak.</v>
          </cell>
          <cell r="R369" t="str">
            <v>S. serw.</v>
          </cell>
        </row>
        <row r="370">
          <cell r="A370">
            <v>53</v>
          </cell>
          <cell r="C370" t="str">
            <v>Kobiet</v>
          </cell>
          <cell r="H370">
            <v>7</v>
          </cell>
          <cell r="I370">
            <v>21</v>
          </cell>
          <cell r="J370">
            <v>4</v>
          </cell>
          <cell r="K370">
            <v>21</v>
          </cell>
          <cell r="R370">
            <v>0</v>
          </cell>
          <cell r="S370" t="str">
            <v>godz.13:20</v>
          </cell>
          <cell r="X370">
            <v>53</v>
          </cell>
          <cell r="Y370" t="str">
            <v>Kobiet</v>
          </cell>
          <cell r="Z370" t="str">
            <v>O0006</v>
          </cell>
          <cell r="AA370" t="str">
            <v/>
          </cell>
          <cell r="AB370" t="str">
            <v>B0020</v>
          </cell>
          <cell r="AC370" t="str">
            <v/>
          </cell>
          <cell r="AD370" t="str">
            <v>B0020</v>
          </cell>
          <cell r="AE370" t="str">
            <v/>
          </cell>
          <cell r="AF370" t="str">
            <v>21:7,21:4</v>
          </cell>
          <cell r="AG370" t="str">
            <v>7:21,4:21</v>
          </cell>
          <cell r="AH370" t="str">
            <v/>
          </cell>
          <cell r="AI370">
            <v>7</v>
          </cell>
          <cell r="AJ370">
            <v>21</v>
          </cell>
          <cell r="AK370">
            <v>4</v>
          </cell>
          <cell r="AL370">
            <v>21</v>
          </cell>
          <cell r="AM370">
            <v>0</v>
          </cell>
          <cell r="AN370">
            <v>0</v>
          </cell>
        </row>
        <row r="371">
          <cell r="A371" t="str">
            <v/>
          </cell>
          <cell r="B371" t="str">
            <v>Jessica ORZECHOWICZ (Tarnowiec)</v>
          </cell>
          <cell r="H371" t="str">
            <v>O0006</v>
          </cell>
          <cell r="K371" t="str">
            <v>B0020</v>
          </cell>
          <cell r="N371" t="str">
            <v>Klaudia BUKOWIŃSKA (Dubiecko)</v>
          </cell>
        </row>
        <row r="372">
          <cell r="A372" t="str">
            <v/>
          </cell>
          <cell r="B372" t="str">
            <v/>
          </cell>
          <cell r="H372" t="str">
            <v/>
          </cell>
          <cell r="K372" t="str">
            <v/>
          </cell>
          <cell r="N372" t="str">
            <v/>
          </cell>
        </row>
        <row r="374">
          <cell r="B374" t="str">
            <v/>
          </cell>
          <cell r="K374" t="str">
            <v>zwycięzca(cy): 21:7,21:4</v>
          </cell>
        </row>
        <row r="375">
          <cell r="B375">
            <v>54</v>
          </cell>
          <cell r="C375" t="str">
            <v>dzień turnieju.</v>
          </cell>
          <cell r="I375" t="str">
            <v>Nr meczu</v>
          </cell>
          <cell r="N375" t="str">
            <v>Godz.</v>
          </cell>
          <cell r="R375" t="str">
            <v>S. prow.</v>
          </cell>
          <cell r="AF375" t="str">
            <v>wygrany</v>
          </cell>
          <cell r="AG375" t="str">
            <v>przegrany</v>
          </cell>
        </row>
        <row r="376">
          <cell r="B376" t="str">
            <v>Boisko</v>
          </cell>
          <cell r="C376" t="str">
            <v>Gra</v>
          </cell>
          <cell r="I376">
            <v>54</v>
          </cell>
          <cell r="N376" t="str">
            <v>rozp.</v>
          </cell>
          <cell r="P376" t="str">
            <v>zak.</v>
          </cell>
          <cell r="R376" t="str">
            <v>S. serw.</v>
          </cell>
        </row>
        <row r="377">
          <cell r="A377">
            <v>54</v>
          </cell>
          <cell r="C377" t="str">
            <v>Kobiet</v>
          </cell>
          <cell r="H377">
            <v>21</v>
          </cell>
          <cell r="I377">
            <v>2</v>
          </cell>
          <cell r="J377">
            <v>21</v>
          </cell>
          <cell r="K377">
            <v>4</v>
          </cell>
          <cell r="R377">
            <v>0</v>
          </cell>
          <cell r="S377" t="str">
            <v>godz.13:20</v>
          </cell>
          <cell r="X377">
            <v>54</v>
          </cell>
          <cell r="Y377" t="str">
            <v>Kobiet</v>
          </cell>
          <cell r="Z377" t="str">
            <v>S0019</v>
          </cell>
          <cell r="AA377" t="str">
            <v/>
          </cell>
          <cell r="AB377" t="str">
            <v>S0037</v>
          </cell>
          <cell r="AC377" t="str">
            <v/>
          </cell>
          <cell r="AD377" t="str">
            <v>S0019</v>
          </cell>
          <cell r="AE377" t="str">
            <v/>
          </cell>
          <cell r="AF377" t="str">
            <v>21:2,21:4</v>
          </cell>
          <cell r="AG377" t="str">
            <v>2:21,4:21</v>
          </cell>
          <cell r="AH377" t="str">
            <v/>
          </cell>
          <cell r="AI377">
            <v>21</v>
          </cell>
          <cell r="AJ377">
            <v>2</v>
          </cell>
          <cell r="AK377">
            <v>21</v>
          </cell>
          <cell r="AL377">
            <v>4</v>
          </cell>
          <cell r="AM377">
            <v>0</v>
          </cell>
          <cell r="AN377">
            <v>0</v>
          </cell>
        </row>
        <row r="378">
          <cell r="A378" t="str">
            <v/>
          </cell>
          <cell r="B378" t="str">
            <v>Katarzyna  SŁOMBA (Mielec)</v>
          </cell>
          <cell r="H378" t="str">
            <v>S0019</v>
          </cell>
          <cell r="K378" t="str">
            <v>S0037</v>
          </cell>
          <cell r="N378" t="str">
            <v>Anna SAWICKA (Tarnowiec)</v>
          </cell>
        </row>
        <row r="379">
          <cell r="A379" t="str">
            <v/>
          </cell>
          <cell r="B379" t="str">
            <v/>
          </cell>
          <cell r="H379" t="str">
            <v/>
          </cell>
          <cell r="K379" t="str">
            <v/>
          </cell>
          <cell r="N379" t="str">
            <v/>
          </cell>
        </row>
        <row r="381">
          <cell r="B381" t="str">
            <v>zwycięzca(cy): 21:2,21:4</v>
          </cell>
          <cell r="K381" t="str">
            <v/>
          </cell>
        </row>
        <row r="382">
          <cell r="B382">
            <v>55</v>
          </cell>
          <cell r="C382" t="str">
            <v>dzień turnieju.</v>
          </cell>
          <cell r="I382" t="str">
            <v>Nr meczu</v>
          </cell>
          <cell r="N382" t="str">
            <v>Godz.</v>
          </cell>
          <cell r="R382" t="str">
            <v>S. prow.</v>
          </cell>
          <cell r="AF382" t="str">
            <v>wygrany</v>
          </cell>
          <cell r="AG382" t="str">
            <v>przegrany</v>
          </cell>
        </row>
        <row r="383">
          <cell r="B383" t="str">
            <v>Boisko</v>
          </cell>
          <cell r="C383" t="str">
            <v>Gra</v>
          </cell>
          <cell r="I383">
            <v>55</v>
          </cell>
          <cell r="N383" t="str">
            <v>rozp.</v>
          </cell>
          <cell r="P383" t="str">
            <v>zak.</v>
          </cell>
          <cell r="R383" t="str">
            <v>S. serw.</v>
          </cell>
        </row>
        <row r="384">
          <cell r="A384">
            <v>55</v>
          </cell>
          <cell r="C384" t="str">
            <v>Kobiet</v>
          </cell>
          <cell r="H384">
            <v>5</v>
          </cell>
          <cell r="I384">
            <v>21</v>
          </cell>
          <cell r="J384">
            <v>7</v>
          </cell>
          <cell r="K384">
            <v>21</v>
          </cell>
          <cell r="R384">
            <v>0</v>
          </cell>
          <cell r="S384" t="str">
            <v>godz.13:20</v>
          </cell>
          <cell r="X384">
            <v>55</v>
          </cell>
          <cell r="Y384" t="str">
            <v>Kobiet</v>
          </cell>
          <cell r="Z384" t="str">
            <v>D0008</v>
          </cell>
          <cell r="AA384" t="str">
            <v/>
          </cell>
          <cell r="AB384" t="str">
            <v>S0019</v>
          </cell>
          <cell r="AC384" t="str">
            <v/>
          </cell>
          <cell r="AD384" t="str">
            <v>S0019</v>
          </cell>
          <cell r="AE384" t="str">
            <v/>
          </cell>
          <cell r="AF384" t="str">
            <v>21:5,21:7</v>
          </cell>
          <cell r="AG384" t="str">
            <v>5:21,7:21</v>
          </cell>
          <cell r="AH384" t="str">
            <v/>
          </cell>
          <cell r="AI384">
            <v>5</v>
          </cell>
          <cell r="AJ384">
            <v>21</v>
          </cell>
          <cell r="AK384">
            <v>7</v>
          </cell>
          <cell r="AL384">
            <v>21</v>
          </cell>
          <cell r="AM384">
            <v>0</v>
          </cell>
          <cell r="AN384">
            <v>0</v>
          </cell>
        </row>
        <row r="385">
          <cell r="A385" t="str">
            <v/>
          </cell>
          <cell r="B385" t="str">
            <v>Patrycja DOMAŃSKA (Rzeszów)</v>
          </cell>
          <cell r="H385" t="str">
            <v>D0008</v>
          </cell>
          <cell r="K385" t="str">
            <v>S0019</v>
          </cell>
          <cell r="N385" t="str">
            <v>Katarzyna  SŁOMBA (Mielec)</v>
          </cell>
        </row>
        <row r="386">
          <cell r="A386" t="str">
            <v/>
          </cell>
          <cell r="B386" t="str">
            <v/>
          </cell>
          <cell r="H386" t="str">
            <v/>
          </cell>
          <cell r="K386" t="str">
            <v/>
          </cell>
          <cell r="N386" t="str">
            <v/>
          </cell>
        </row>
        <row r="388">
          <cell r="B388" t="str">
            <v/>
          </cell>
          <cell r="K388" t="str">
            <v>zwycięzca(cy): 21:5,21:7</v>
          </cell>
        </row>
        <row r="389">
          <cell r="B389">
            <v>56</v>
          </cell>
          <cell r="C389" t="str">
            <v>dzień turnieju.</v>
          </cell>
          <cell r="I389" t="str">
            <v>Nr meczu</v>
          </cell>
          <cell r="N389" t="str">
            <v>Godz.</v>
          </cell>
          <cell r="R389" t="str">
            <v>S. prow.</v>
          </cell>
          <cell r="AF389" t="str">
            <v>wygrany</v>
          </cell>
          <cell r="AG389" t="str">
            <v>przegrany</v>
          </cell>
        </row>
        <row r="390">
          <cell r="B390" t="str">
            <v>Boisko</v>
          </cell>
          <cell r="C390" t="str">
            <v>Gra</v>
          </cell>
          <cell r="I390">
            <v>56</v>
          </cell>
          <cell r="N390" t="str">
            <v>rozp.</v>
          </cell>
          <cell r="P390" t="str">
            <v>zak.</v>
          </cell>
          <cell r="R390" t="str">
            <v>S. serw.</v>
          </cell>
        </row>
        <row r="391">
          <cell r="A391">
            <v>56</v>
          </cell>
          <cell r="C391" t="str">
            <v>Kobiet</v>
          </cell>
          <cell r="H391">
            <v>4</v>
          </cell>
          <cell r="I391">
            <v>21</v>
          </cell>
          <cell r="J391">
            <v>2</v>
          </cell>
          <cell r="K391">
            <v>21</v>
          </cell>
          <cell r="R391">
            <v>0</v>
          </cell>
          <cell r="S391" t="str">
            <v>godz.13:20</v>
          </cell>
          <cell r="X391">
            <v>56</v>
          </cell>
          <cell r="Y391" t="str">
            <v>Kobiet</v>
          </cell>
          <cell r="Z391" t="str">
            <v>S0037</v>
          </cell>
          <cell r="AA391" t="str">
            <v/>
          </cell>
          <cell r="AB391" t="str">
            <v>B0020</v>
          </cell>
          <cell r="AC391" t="str">
            <v/>
          </cell>
          <cell r="AD391" t="str">
            <v>B0020</v>
          </cell>
          <cell r="AE391" t="str">
            <v/>
          </cell>
          <cell r="AF391" t="str">
            <v>21:4,21:2</v>
          </cell>
          <cell r="AG391" t="str">
            <v>4:21,2:21</v>
          </cell>
          <cell r="AH391" t="str">
            <v/>
          </cell>
          <cell r="AI391">
            <v>4</v>
          </cell>
          <cell r="AJ391">
            <v>21</v>
          </cell>
          <cell r="AK391">
            <v>2</v>
          </cell>
          <cell r="AL391">
            <v>21</v>
          </cell>
          <cell r="AM391">
            <v>0</v>
          </cell>
          <cell r="AN391">
            <v>0</v>
          </cell>
        </row>
        <row r="392">
          <cell r="A392" t="str">
            <v/>
          </cell>
          <cell r="B392" t="str">
            <v>Anna SAWICKA (Tarnowiec)</v>
          </cell>
          <cell r="H392" t="str">
            <v>S0037</v>
          </cell>
          <cell r="K392" t="str">
            <v>B0020</v>
          </cell>
          <cell r="N392" t="str">
            <v>Klaudia BUKOWIŃSKA (Dubiecko)</v>
          </cell>
        </row>
        <row r="393">
          <cell r="A393" t="str">
            <v/>
          </cell>
          <cell r="B393" t="str">
            <v/>
          </cell>
          <cell r="H393" t="str">
            <v/>
          </cell>
          <cell r="K393" t="str">
            <v/>
          </cell>
          <cell r="N393" t="str">
            <v/>
          </cell>
        </row>
        <row r="395">
          <cell r="B395" t="str">
            <v/>
          </cell>
          <cell r="K395" t="str">
            <v>zwycięzca(cy): 21:4,21:2</v>
          </cell>
        </row>
        <row r="396">
          <cell r="B396">
            <v>57</v>
          </cell>
          <cell r="C396" t="str">
            <v>dzień turnieju.</v>
          </cell>
          <cell r="I396" t="str">
            <v>Nr meczu</v>
          </cell>
          <cell r="N396" t="str">
            <v>Godz.</v>
          </cell>
          <cell r="R396" t="str">
            <v>S. prow.</v>
          </cell>
          <cell r="AF396" t="str">
            <v>wygrany</v>
          </cell>
          <cell r="AG396" t="str">
            <v>przegrany</v>
          </cell>
        </row>
        <row r="397">
          <cell r="B397" t="str">
            <v>Boisko</v>
          </cell>
          <cell r="C397" t="str">
            <v>Gra</v>
          </cell>
          <cell r="I397">
            <v>57</v>
          </cell>
          <cell r="N397" t="str">
            <v>rozp.</v>
          </cell>
          <cell r="P397" t="str">
            <v>zak.</v>
          </cell>
          <cell r="R397" t="str">
            <v>S. serw.</v>
          </cell>
        </row>
        <row r="398">
          <cell r="A398">
            <v>57</v>
          </cell>
          <cell r="C398" t="str">
            <v>Kobiet</v>
          </cell>
          <cell r="H398">
            <v>8</v>
          </cell>
          <cell r="I398">
            <v>21</v>
          </cell>
          <cell r="J398">
            <v>5</v>
          </cell>
          <cell r="K398">
            <v>21</v>
          </cell>
          <cell r="R398">
            <v>0</v>
          </cell>
          <cell r="S398" t="str">
            <v>godz.13:40</v>
          </cell>
          <cell r="X398">
            <v>57</v>
          </cell>
          <cell r="Y398" t="str">
            <v>Kobiet</v>
          </cell>
          <cell r="Z398" t="str">
            <v>S0037</v>
          </cell>
          <cell r="AA398" t="str">
            <v/>
          </cell>
          <cell r="AB398" t="str">
            <v>O0006</v>
          </cell>
          <cell r="AC398" t="str">
            <v/>
          </cell>
          <cell r="AD398" t="str">
            <v>O0006</v>
          </cell>
          <cell r="AE398" t="str">
            <v/>
          </cell>
          <cell r="AF398" t="str">
            <v>21:8,21:5</v>
          </cell>
          <cell r="AG398" t="str">
            <v>8:21,5:21</v>
          </cell>
          <cell r="AH398" t="str">
            <v/>
          </cell>
          <cell r="AI398">
            <v>8</v>
          </cell>
          <cell r="AJ398">
            <v>21</v>
          </cell>
          <cell r="AK398">
            <v>5</v>
          </cell>
          <cell r="AL398">
            <v>21</v>
          </cell>
          <cell r="AM398">
            <v>0</v>
          </cell>
          <cell r="AN398">
            <v>0</v>
          </cell>
        </row>
        <row r="399">
          <cell r="A399" t="str">
            <v/>
          </cell>
          <cell r="B399" t="str">
            <v>Anna SAWICKA (Tarnowiec)</v>
          </cell>
          <cell r="H399" t="str">
            <v>S0037</v>
          </cell>
          <cell r="K399" t="str">
            <v>O0006</v>
          </cell>
          <cell r="N399" t="str">
            <v>Jessica ORZECHOWICZ (Tarnowiec)</v>
          </cell>
        </row>
        <row r="400">
          <cell r="A400" t="str">
            <v/>
          </cell>
          <cell r="B400" t="str">
            <v/>
          </cell>
          <cell r="H400" t="str">
            <v/>
          </cell>
          <cell r="K400" t="str">
            <v/>
          </cell>
          <cell r="N400" t="str">
            <v/>
          </cell>
        </row>
        <row r="402">
          <cell r="B402" t="str">
            <v/>
          </cell>
          <cell r="K402" t="str">
            <v>zwycięzca(cy): 21:8,21:5</v>
          </cell>
        </row>
        <row r="403">
          <cell r="B403">
            <v>58</v>
          </cell>
          <cell r="C403" t="str">
            <v>dzień turnieju.</v>
          </cell>
          <cell r="I403" t="str">
            <v>Nr meczu</v>
          </cell>
          <cell r="N403" t="str">
            <v>Godz.</v>
          </cell>
          <cell r="R403" t="str">
            <v>S. prow.</v>
          </cell>
          <cell r="AF403" t="str">
            <v>wygrany</v>
          </cell>
          <cell r="AG403" t="str">
            <v>przegrany</v>
          </cell>
        </row>
        <row r="404">
          <cell r="B404" t="str">
            <v>Boisko</v>
          </cell>
          <cell r="C404" t="str">
            <v>Gra</v>
          </cell>
          <cell r="I404">
            <v>58</v>
          </cell>
          <cell r="N404" t="str">
            <v>rozp.</v>
          </cell>
          <cell r="P404" t="str">
            <v>zak.</v>
          </cell>
          <cell r="R404" t="str">
            <v>S. serw.</v>
          </cell>
        </row>
        <row r="405">
          <cell r="A405">
            <v>58</v>
          </cell>
          <cell r="C405" t="str">
            <v>Kobiet</v>
          </cell>
          <cell r="H405">
            <v>21</v>
          </cell>
          <cell r="I405">
            <v>15</v>
          </cell>
          <cell r="J405">
            <v>21</v>
          </cell>
          <cell r="K405">
            <v>16</v>
          </cell>
          <cell r="R405">
            <v>0</v>
          </cell>
          <cell r="S405" t="str">
            <v>godz.13:40</v>
          </cell>
          <cell r="X405">
            <v>58</v>
          </cell>
          <cell r="Y405" t="str">
            <v>Kobiet</v>
          </cell>
          <cell r="Z405" t="str">
            <v>B0020</v>
          </cell>
          <cell r="AA405" t="str">
            <v/>
          </cell>
          <cell r="AB405" t="str">
            <v>D0008</v>
          </cell>
          <cell r="AC405" t="str">
            <v/>
          </cell>
          <cell r="AD405" t="str">
            <v>B0020</v>
          </cell>
          <cell r="AE405" t="str">
            <v/>
          </cell>
          <cell r="AF405" t="str">
            <v>21:15,21:16</v>
          </cell>
          <cell r="AG405" t="str">
            <v>15:21,16:21</v>
          </cell>
          <cell r="AH405" t="str">
            <v/>
          </cell>
          <cell r="AI405">
            <v>21</v>
          </cell>
          <cell r="AJ405">
            <v>15</v>
          </cell>
          <cell r="AK405">
            <v>21</v>
          </cell>
          <cell r="AL405">
            <v>16</v>
          </cell>
          <cell r="AM405">
            <v>0</v>
          </cell>
          <cell r="AN405">
            <v>0</v>
          </cell>
        </row>
        <row r="406">
          <cell r="A406" t="str">
            <v/>
          </cell>
          <cell r="B406" t="str">
            <v>Klaudia BUKOWIŃSKA (Dubiecko)</v>
          </cell>
          <cell r="H406" t="str">
            <v>B0020</v>
          </cell>
          <cell r="K406" t="str">
            <v>D0008</v>
          </cell>
          <cell r="N406" t="str">
            <v>Patrycja DOMAŃSKA (Rzeszów)</v>
          </cell>
        </row>
        <row r="407">
          <cell r="A407" t="str">
            <v/>
          </cell>
          <cell r="B407" t="str">
            <v/>
          </cell>
          <cell r="H407" t="str">
            <v/>
          </cell>
          <cell r="K407" t="str">
            <v/>
          </cell>
          <cell r="N407" t="str">
            <v/>
          </cell>
        </row>
        <row r="409">
          <cell r="B409" t="str">
            <v>zwycięzca(cy): 21:15,21:16</v>
          </cell>
          <cell r="K409" t="str">
            <v/>
          </cell>
        </row>
        <row r="410">
          <cell r="B410">
            <v>59</v>
          </cell>
          <cell r="C410" t="str">
            <v>dzień turnieju.</v>
          </cell>
          <cell r="I410" t="str">
            <v>Nr meczu</v>
          </cell>
          <cell r="N410" t="str">
            <v>Godz.</v>
          </cell>
          <cell r="R410" t="str">
            <v>S. prow.</v>
          </cell>
          <cell r="AF410" t="str">
            <v>wygrany</v>
          </cell>
          <cell r="AG410" t="str">
            <v>przegrany</v>
          </cell>
        </row>
        <row r="411">
          <cell r="B411" t="str">
            <v>Boisko</v>
          </cell>
          <cell r="C411" t="str">
            <v>Gra</v>
          </cell>
          <cell r="I411">
            <v>59</v>
          </cell>
          <cell r="N411" t="str">
            <v>rozp.</v>
          </cell>
          <cell r="P411" t="str">
            <v>zak.</v>
          </cell>
          <cell r="R411" t="str">
            <v>S. serw.</v>
          </cell>
        </row>
        <row r="412">
          <cell r="A412">
            <v>59</v>
          </cell>
          <cell r="C412" t="str">
            <v>Kobiet</v>
          </cell>
          <cell r="H412">
            <v>2</v>
          </cell>
          <cell r="I412">
            <v>21</v>
          </cell>
          <cell r="J412">
            <v>5</v>
          </cell>
          <cell r="K412">
            <v>21</v>
          </cell>
          <cell r="R412">
            <v>0</v>
          </cell>
          <cell r="S412" t="str">
            <v>godz.13:40</v>
          </cell>
          <cell r="X412">
            <v>59</v>
          </cell>
          <cell r="Y412" t="str">
            <v>Kobiet</v>
          </cell>
          <cell r="Z412" t="str">
            <v>S0037</v>
          </cell>
          <cell r="AA412" t="str">
            <v/>
          </cell>
          <cell r="AB412" t="str">
            <v>D0008</v>
          </cell>
          <cell r="AC412" t="str">
            <v/>
          </cell>
          <cell r="AD412" t="str">
            <v>D0008</v>
          </cell>
          <cell r="AE412" t="str">
            <v/>
          </cell>
          <cell r="AF412" t="str">
            <v>21:2,21:5</v>
          </cell>
          <cell r="AG412" t="str">
            <v>2:21,5:21</v>
          </cell>
          <cell r="AH412" t="str">
            <v/>
          </cell>
          <cell r="AI412">
            <v>2</v>
          </cell>
          <cell r="AJ412">
            <v>21</v>
          </cell>
          <cell r="AK412">
            <v>5</v>
          </cell>
          <cell r="AL412">
            <v>21</v>
          </cell>
          <cell r="AM412">
            <v>0</v>
          </cell>
          <cell r="AN412">
            <v>0</v>
          </cell>
        </row>
        <row r="413">
          <cell r="A413" t="str">
            <v/>
          </cell>
          <cell r="B413" t="str">
            <v>Anna SAWICKA (Tarnowiec)</v>
          </cell>
          <cell r="H413" t="str">
            <v>S0037</v>
          </cell>
          <cell r="K413" t="str">
            <v>D0008</v>
          </cell>
          <cell r="N413" t="str">
            <v>Patrycja DOMAŃSKA (Rzeszów)</v>
          </cell>
        </row>
        <row r="414">
          <cell r="A414" t="str">
            <v/>
          </cell>
          <cell r="B414" t="str">
            <v/>
          </cell>
          <cell r="H414" t="str">
            <v/>
          </cell>
          <cell r="K414" t="str">
            <v/>
          </cell>
          <cell r="N414" t="str">
            <v/>
          </cell>
        </row>
        <row r="416">
          <cell r="B416" t="str">
            <v/>
          </cell>
          <cell r="K416" t="str">
            <v>zwycięzca(cy): 21:2,21:5</v>
          </cell>
        </row>
        <row r="417">
          <cell r="B417">
            <v>60</v>
          </cell>
          <cell r="C417" t="str">
            <v>dzień turnieju.</v>
          </cell>
          <cell r="I417" t="str">
            <v>Nr meczu</v>
          </cell>
          <cell r="N417" t="str">
            <v>Godz.</v>
          </cell>
          <cell r="R417" t="str">
            <v>S. prow.</v>
          </cell>
          <cell r="AF417" t="str">
            <v>wygrany</v>
          </cell>
          <cell r="AG417" t="str">
            <v>przegrany</v>
          </cell>
        </row>
        <row r="418">
          <cell r="B418" t="str">
            <v>Boisko</v>
          </cell>
          <cell r="C418" t="str">
            <v>Gra</v>
          </cell>
          <cell r="I418">
            <v>60</v>
          </cell>
          <cell r="N418" t="str">
            <v>rozp.</v>
          </cell>
          <cell r="P418" t="str">
            <v>zak.</v>
          </cell>
          <cell r="R418" t="str">
            <v>S. serw.</v>
          </cell>
        </row>
        <row r="419">
          <cell r="A419">
            <v>60</v>
          </cell>
          <cell r="C419" t="str">
            <v>Kobiet</v>
          </cell>
          <cell r="H419">
            <v>6</v>
          </cell>
          <cell r="I419">
            <v>21</v>
          </cell>
          <cell r="J419">
            <v>8</v>
          </cell>
          <cell r="K419">
            <v>21</v>
          </cell>
          <cell r="R419">
            <v>0</v>
          </cell>
          <cell r="S419" t="str">
            <v>godz.13:40</v>
          </cell>
          <cell r="X419">
            <v>60</v>
          </cell>
          <cell r="Y419" t="str">
            <v>Kobiet</v>
          </cell>
          <cell r="Z419" t="str">
            <v>O0006</v>
          </cell>
          <cell r="AA419" t="str">
            <v/>
          </cell>
          <cell r="AB419" t="str">
            <v>S0019</v>
          </cell>
          <cell r="AC419" t="str">
            <v/>
          </cell>
          <cell r="AD419" t="str">
            <v>S0019</v>
          </cell>
          <cell r="AE419" t="str">
            <v/>
          </cell>
          <cell r="AF419" t="str">
            <v>21:6,21:8</v>
          </cell>
          <cell r="AG419" t="str">
            <v>6:21,8:21</v>
          </cell>
          <cell r="AH419" t="str">
            <v/>
          </cell>
          <cell r="AI419">
            <v>6</v>
          </cell>
          <cell r="AJ419">
            <v>21</v>
          </cell>
          <cell r="AK419">
            <v>8</v>
          </cell>
          <cell r="AL419">
            <v>21</v>
          </cell>
          <cell r="AM419">
            <v>0</v>
          </cell>
          <cell r="AN419">
            <v>0</v>
          </cell>
        </row>
        <row r="420">
          <cell r="A420" t="str">
            <v/>
          </cell>
          <cell r="B420" t="str">
            <v>Jessica ORZECHOWICZ (Tarnowiec)</v>
          </cell>
          <cell r="H420" t="str">
            <v>O0006</v>
          </cell>
          <cell r="K420" t="str">
            <v>S0019</v>
          </cell>
          <cell r="N420" t="str">
            <v>Katarzyna  SŁOMBA (Mielec)</v>
          </cell>
        </row>
        <row r="421">
          <cell r="A421" t="str">
            <v/>
          </cell>
          <cell r="B421" t="str">
            <v/>
          </cell>
          <cell r="H421" t="str">
            <v/>
          </cell>
          <cell r="K421" t="str">
            <v/>
          </cell>
          <cell r="N421" t="str">
            <v/>
          </cell>
        </row>
        <row r="423">
          <cell r="B423" t="str">
            <v/>
          </cell>
          <cell r="K423" t="str">
            <v>zwycięzca(cy): 21:6,21:8</v>
          </cell>
        </row>
        <row r="424">
          <cell r="B424">
            <v>61</v>
          </cell>
          <cell r="C424" t="str">
            <v>dzień turnieju.</v>
          </cell>
          <cell r="I424" t="str">
            <v>Nr meczu</v>
          </cell>
          <cell r="N424" t="str">
            <v>Godz.</v>
          </cell>
          <cell r="R424" t="str">
            <v>S. prow.</v>
          </cell>
          <cell r="AF424" t="str">
            <v>wygrany</v>
          </cell>
          <cell r="AG424" t="str">
            <v>przegrany</v>
          </cell>
        </row>
        <row r="425">
          <cell r="B425" t="str">
            <v>Boisko</v>
          </cell>
          <cell r="C425" t="str">
            <v>Gra</v>
          </cell>
          <cell r="I425">
            <v>61</v>
          </cell>
          <cell r="N425" t="str">
            <v>rozp.</v>
          </cell>
          <cell r="P425" t="str">
            <v>zak.</v>
          </cell>
          <cell r="R425" t="str">
            <v>S. serw.</v>
          </cell>
        </row>
        <row r="426">
          <cell r="A426">
            <v>61</v>
          </cell>
          <cell r="C426" t="str">
            <v>Kobiet</v>
          </cell>
          <cell r="H426">
            <v>17</v>
          </cell>
          <cell r="I426">
            <v>21</v>
          </cell>
          <cell r="J426">
            <v>10</v>
          </cell>
          <cell r="K426">
            <v>21</v>
          </cell>
          <cell r="R426">
            <v>0</v>
          </cell>
          <cell r="S426" t="str">
            <v>godz.14:00</v>
          </cell>
          <cell r="X426">
            <v>61</v>
          </cell>
          <cell r="Y426" t="str">
            <v>Kobiet</v>
          </cell>
          <cell r="Z426" t="str">
            <v>B0020</v>
          </cell>
          <cell r="AA426" t="str">
            <v/>
          </cell>
          <cell r="AB426" t="str">
            <v>S0019</v>
          </cell>
          <cell r="AC426" t="str">
            <v/>
          </cell>
          <cell r="AD426" t="str">
            <v>S0019</v>
          </cell>
          <cell r="AE426" t="str">
            <v/>
          </cell>
          <cell r="AF426" t="str">
            <v>21:17,21:10</v>
          </cell>
          <cell r="AG426" t="str">
            <v>17:21,10:21</v>
          </cell>
          <cell r="AH426" t="str">
            <v/>
          </cell>
          <cell r="AI426">
            <v>17</v>
          </cell>
          <cell r="AJ426">
            <v>21</v>
          </cell>
          <cell r="AK426">
            <v>10</v>
          </cell>
          <cell r="AL426">
            <v>21</v>
          </cell>
          <cell r="AM426">
            <v>0</v>
          </cell>
          <cell r="AN426">
            <v>0</v>
          </cell>
        </row>
        <row r="427">
          <cell r="A427" t="str">
            <v/>
          </cell>
          <cell r="B427" t="str">
            <v>Klaudia BUKOWIŃSKA (Dubiecko)</v>
          </cell>
          <cell r="H427" t="str">
            <v>B0020</v>
          </cell>
          <cell r="K427" t="str">
            <v>S0019</v>
          </cell>
          <cell r="N427" t="str">
            <v>Katarzyna  SŁOMBA (Mielec)</v>
          </cell>
        </row>
        <row r="428">
          <cell r="A428" t="str">
            <v/>
          </cell>
          <cell r="B428" t="str">
            <v/>
          </cell>
          <cell r="H428" t="str">
            <v/>
          </cell>
          <cell r="K428" t="str">
            <v/>
          </cell>
          <cell r="N428" t="str">
            <v/>
          </cell>
        </row>
        <row r="430">
          <cell r="B430" t="str">
            <v/>
          </cell>
          <cell r="K430" t="str">
            <v>zwycięzca(cy): 21:17,21:10</v>
          </cell>
        </row>
        <row r="431">
          <cell r="B431">
            <v>62</v>
          </cell>
          <cell r="C431" t="str">
            <v>dzień turnieju.</v>
          </cell>
          <cell r="I431" t="str">
            <v>Nr meczu</v>
          </cell>
          <cell r="N431" t="str">
            <v>Godz.</v>
          </cell>
          <cell r="R431" t="str">
            <v>S. prow.</v>
          </cell>
          <cell r="AF431" t="str">
            <v>wygrany</v>
          </cell>
          <cell r="AG431" t="str">
            <v>przegrany</v>
          </cell>
        </row>
        <row r="432">
          <cell r="B432" t="str">
            <v>Boisko</v>
          </cell>
          <cell r="C432" t="str">
            <v>Gra</v>
          </cell>
          <cell r="I432">
            <v>62</v>
          </cell>
          <cell r="N432" t="str">
            <v>rozp.</v>
          </cell>
          <cell r="P432" t="str">
            <v>zak.</v>
          </cell>
          <cell r="R432" t="str">
            <v>S. serw.</v>
          </cell>
        </row>
        <row r="433">
          <cell r="A433">
            <v>62</v>
          </cell>
          <cell r="C433" t="str">
            <v>Kobiet</v>
          </cell>
          <cell r="H433">
            <v>13</v>
          </cell>
          <cell r="I433">
            <v>21</v>
          </cell>
          <cell r="J433">
            <v>14</v>
          </cell>
          <cell r="K433">
            <v>9</v>
          </cell>
          <cell r="R433">
            <v>0</v>
          </cell>
          <cell r="S433" t="str">
            <v>godz.14:00</v>
          </cell>
          <cell r="X433">
            <v>62</v>
          </cell>
          <cell r="Y433" t="str">
            <v>Kobiet</v>
          </cell>
          <cell r="Z433" t="str">
            <v>D0008</v>
          </cell>
          <cell r="AA433" t="str">
            <v/>
          </cell>
          <cell r="AB433" t="str">
            <v>O0006</v>
          </cell>
          <cell r="AC433" t="str">
            <v/>
          </cell>
          <cell r="AD433" t="str">
            <v>D0008</v>
          </cell>
          <cell r="AE433" t="str">
            <v/>
          </cell>
          <cell r="AF433" t="str">
            <v>13:21,14:9 krecz</v>
          </cell>
          <cell r="AG433" t="str">
            <v>21:13,9:14 krecz</v>
          </cell>
          <cell r="AH433" t="str">
            <v/>
          </cell>
          <cell r="AI433">
            <v>13</v>
          </cell>
          <cell r="AJ433">
            <v>21</v>
          </cell>
          <cell r="AK433">
            <v>14</v>
          </cell>
          <cell r="AL433">
            <v>9</v>
          </cell>
          <cell r="AM433">
            <v>0</v>
          </cell>
          <cell r="AN433">
            <v>0</v>
          </cell>
        </row>
        <row r="434">
          <cell r="A434" t="str">
            <v/>
          </cell>
          <cell r="B434" t="str">
            <v>Patrycja DOMAŃSKA (Rzeszów)</v>
          </cell>
          <cell r="H434" t="str">
            <v>D0008</v>
          </cell>
          <cell r="K434" t="str">
            <v>O0006</v>
          </cell>
          <cell r="N434" t="str">
            <v>Jessica ORZECHOWICZ (Tarnowiec)</v>
          </cell>
        </row>
        <row r="435">
          <cell r="A435" t="str">
            <v/>
          </cell>
          <cell r="B435" t="str">
            <v/>
          </cell>
          <cell r="H435" t="str">
            <v/>
          </cell>
          <cell r="K435" t="str">
            <v/>
          </cell>
          <cell r="N435" t="str">
            <v/>
          </cell>
        </row>
        <row r="436">
          <cell r="B436" t="str">
            <v>krecz</v>
          </cell>
        </row>
        <row r="437">
          <cell r="B437" t="str">
            <v>zwycięzca(cy): 13:21,14:9 krecz</v>
          </cell>
          <cell r="K437" t="str">
            <v/>
          </cell>
        </row>
        <row r="438">
          <cell r="B438">
            <v>63</v>
          </cell>
          <cell r="C438" t="str">
            <v>dzień turnieju.</v>
          </cell>
          <cell r="I438" t="str">
            <v>Nr meczu</v>
          </cell>
          <cell r="N438" t="str">
            <v>Godz.</v>
          </cell>
          <cell r="R438" t="str">
            <v>S. prow.</v>
          </cell>
          <cell r="AF438" t="str">
            <v>wygrany</v>
          </cell>
          <cell r="AG438" t="str">
            <v>przegrany</v>
          </cell>
        </row>
        <row r="439">
          <cell r="B439" t="str">
            <v>Boisko</v>
          </cell>
          <cell r="C439" t="str">
            <v>Gra</v>
          </cell>
          <cell r="I439">
            <v>63</v>
          </cell>
          <cell r="N439" t="str">
            <v>rozp.</v>
          </cell>
          <cell r="P439" t="str">
            <v>zak.</v>
          </cell>
          <cell r="R439" t="str">
            <v>S. serw.</v>
          </cell>
        </row>
        <row r="440">
          <cell r="A440">
            <v>63</v>
          </cell>
          <cell r="C440" t="str">
            <v>Old Boys</v>
          </cell>
          <cell r="H440">
            <v>21</v>
          </cell>
          <cell r="I440">
            <v>14</v>
          </cell>
          <cell r="J440">
            <v>21</v>
          </cell>
          <cell r="K440">
            <v>12</v>
          </cell>
          <cell r="R440">
            <v>0</v>
          </cell>
          <cell r="S440" t="str">
            <v>godz.14:00</v>
          </cell>
          <cell r="X440">
            <v>63</v>
          </cell>
          <cell r="Y440" t="str">
            <v>Old Boys</v>
          </cell>
          <cell r="Z440" t="str">
            <v>B0009</v>
          </cell>
          <cell r="AA440" t="str">
            <v/>
          </cell>
          <cell r="AB440" t="str">
            <v>O0001</v>
          </cell>
          <cell r="AC440" t="str">
            <v/>
          </cell>
          <cell r="AD440" t="str">
            <v>B0009</v>
          </cell>
          <cell r="AE440" t="str">
            <v/>
          </cell>
          <cell r="AF440" t="str">
            <v>21:14,21:12</v>
          </cell>
          <cell r="AG440" t="str">
            <v>14:21,12:21</v>
          </cell>
          <cell r="AH440" t="str">
            <v/>
          </cell>
          <cell r="AI440">
            <v>21</v>
          </cell>
          <cell r="AJ440">
            <v>14</v>
          </cell>
          <cell r="AK440">
            <v>21</v>
          </cell>
          <cell r="AL440">
            <v>12</v>
          </cell>
          <cell r="AM440">
            <v>0</v>
          </cell>
          <cell r="AN440">
            <v>0</v>
          </cell>
        </row>
        <row r="441">
          <cell r="A441" t="str">
            <v/>
          </cell>
          <cell r="B441" t="str">
            <v>Adam BUNIO (Nowa Dęba)</v>
          </cell>
          <cell r="H441" t="str">
            <v>B0009</v>
          </cell>
          <cell r="K441" t="str">
            <v>O0001</v>
          </cell>
          <cell r="N441" t="str">
            <v>Krzysztof OSTROWSKI (Mielec)</v>
          </cell>
        </row>
        <row r="442">
          <cell r="A442" t="str">
            <v/>
          </cell>
          <cell r="B442" t="str">
            <v/>
          </cell>
          <cell r="H442" t="str">
            <v/>
          </cell>
          <cell r="K442" t="str">
            <v/>
          </cell>
          <cell r="N442" t="str">
            <v/>
          </cell>
        </row>
        <row r="444">
          <cell r="B444" t="str">
            <v>zwycięzca(cy): 21:14,21:12</v>
          </cell>
          <cell r="K444" t="str">
            <v/>
          </cell>
        </row>
        <row r="445">
          <cell r="B445">
            <v>64</v>
          </cell>
          <cell r="C445" t="str">
            <v>dzień turnieju.</v>
          </cell>
          <cell r="I445" t="str">
            <v>Nr meczu</v>
          </cell>
          <cell r="N445" t="str">
            <v>Godz.</v>
          </cell>
          <cell r="R445" t="str">
            <v>S. prow.</v>
          </cell>
          <cell r="AF445" t="str">
            <v>wygrany</v>
          </cell>
          <cell r="AG445" t="str">
            <v>przegrany</v>
          </cell>
        </row>
        <row r="446">
          <cell r="B446" t="str">
            <v>Boisko</v>
          </cell>
          <cell r="C446" t="str">
            <v>Gra</v>
          </cell>
          <cell r="I446">
            <v>64</v>
          </cell>
          <cell r="N446" t="str">
            <v>rozp.</v>
          </cell>
          <cell r="P446" t="str">
            <v>zak.</v>
          </cell>
          <cell r="R446" t="str">
            <v>S. serw.</v>
          </cell>
        </row>
        <row r="447">
          <cell r="A447">
            <v>64</v>
          </cell>
          <cell r="C447" t="str">
            <v>Old Boys</v>
          </cell>
          <cell r="H447">
            <v>9</v>
          </cell>
          <cell r="I447">
            <v>21</v>
          </cell>
          <cell r="J447">
            <v>21</v>
          </cell>
          <cell r="K447">
            <v>23</v>
          </cell>
          <cell r="R447">
            <v>0</v>
          </cell>
          <cell r="S447" t="str">
            <v>godz.14:00</v>
          </cell>
          <cell r="X447">
            <v>64</v>
          </cell>
          <cell r="Y447" t="str">
            <v>Old Boys</v>
          </cell>
          <cell r="Z447" t="str">
            <v>K0038</v>
          </cell>
          <cell r="AA447" t="str">
            <v/>
          </cell>
          <cell r="AB447" t="str">
            <v>O0004</v>
          </cell>
          <cell r="AC447" t="str">
            <v/>
          </cell>
          <cell r="AD447" t="str">
            <v>O0004</v>
          </cell>
          <cell r="AE447" t="str">
            <v/>
          </cell>
          <cell r="AF447" t="str">
            <v>21:9,23:21</v>
          </cell>
          <cell r="AG447" t="str">
            <v>9:21,21:23</v>
          </cell>
          <cell r="AH447" t="str">
            <v/>
          </cell>
          <cell r="AI447">
            <v>9</v>
          </cell>
          <cell r="AJ447">
            <v>21</v>
          </cell>
          <cell r="AK447">
            <v>21</v>
          </cell>
          <cell r="AL447">
            <v>23</v>
          </cell>
          <cell r="AM447">
            <v>0</v>
          </cell>
          <cell r="AN447">
            <v>0</v>
          </cell>
        </row>
        <row r="448">
          <cell r="A448" t="str">
            <v/>
          </cell>
          <cell r="B448" t="str">
            <v>Wojciech KWOLEK (Mielec)</v>
          </cell>
          <cell r="H448" t="str">
            <v>K0038</v>
          </cell>
          <cell r="K448" t="str">
            <v>O0004</v>
          </cell>
          <cell r="N448" t="str">
            <v>Krzysztof ORZECHOWICZ (Tarnowiec)</v>
          </cell>
        </row>
        <row r="449">
          <cell r="A449" t="str">
            <v/>
          </cell>
          <cell r="B449" t="str">
            <v/>
          </cell>
          <cell r="H449" t="str">
            <v/>
          </cell>
          <cell r="K449" t="str">
            <v/>
          </cell>
          <cell r="N449" t="str">
            <v/>
          </cell>
        </row>
        <row r="451">
          <cell r="B451" t="str">
            <v/>
          </cell>
          <cell r="K451" t="str">
            <v>zwycięzca(cy): 21:9,23:21</v>
          </cell>
        </row>
        <row r="452">
          <cell r="B452">
            <v>65</v>
          </cell>
          <cell r="C452" t="str">
            <v>dzień turnieju.</v>
          </cell>
          <cell r="I452" t="str">
            <v>Nr meczu</v>
          </cell>
          <cell r="N452" t="str">
            <v>Godz.</v>
          </cell>
          <cell r="R452" t="str">
            <v>S. prow.</v>
          </cell>
          <cell r="AF452" t="str">
            <v>wygrany</v>
          </cell>
          <cell r="AG452" t="str">
            <v>przegrany</v>
          </cell>
        </row>
        <row r="453">
          <cell r="B453" t="str">
            <v>Boisko</v>
          </cell>
          <cell r="C453" t="str">
            <v>Gra</v>
          </cell>
          <cell r="I453">
            <v>65</v>
          </cell>
          <cell r="N453" t="str">
            <v>rozp.</v>
          </cell>
          <cell r="P453" t="str">
            <v>zak.</v>
          </cell>
          <cell r="R453" t="str">
            <v>S. serw.</v>
          </cell>
        </row>
        <row r="454">
          <cell r="A454">
            <v>65</v>
          </cell>
          <cell r="C454" t="str">
            <v>Old Boys</v>
          </cell>
          <cell r="H454">
            <v>21</v>
          </cell>
          <cell r="I454">
            <v>16</v>
          </cell>
          <cell r="J454">
            <v>21</v>
          </cell>
          <cell r="K454">
            <v>12</v>
          </cell>
          <cell r="R454">
            <v>0</v>
          </cell>
          <cell r="S454" t="str">
            <v>godz.14:20</v>
          </cell>
          <cell r="X454">
            <v>65</v>
          </cell>
          <cell r="Y454" t="str">
            <v>Old Boys</v>
          </cell>
          <cell r="Z454" t="str">
            <v>K0003</v>
          </cell>
          <cell r="AA454" t="str">
            <v/>
          </cell>
          <cell r="AB454" t="str">
            <v>P0023</v>
          </cell>
          <cell r="AC454" t="str">
            <v/>
          </cell>
          <cell r="AD454" t="str">
            <v>K0003</v>
          </cell>
          <cell r="AE454" t="str">
            <v/>
          </cell>
          <cell r="AF454" t="str">
            <v>21:16,21:12</v>
          </cell>
          <cell r="AG454" t="str">
            <v>16:21,12:21</v>
          </cell>
          <cell r="AH454" t="str">
            <v/>
          </cell>
          <cell r="AI454">
            <v>21</v>
          </cell>
          <cell r="AJ454">
            <v>16</v>
          </cell>
          <cell r="AK454">
            <v>21</v>
          </cell>
          <cell r="AL454">
            <v>12</v>
          </cell>
          <cell r="AM454">
            <v>0</v>
          </cell>
          <cell r="AN454">
            <v>0</v>
          </cell>
        </row>
        <row r="455">
          <cell r="A455" t="str">
            <v/>
          </cell>
          <cell r="B455" t="str">
            <v>Robert KARNASIEWICZ (Mielec)</v>
          </cell>
          <cell r="H455" t="str">
            <v>K0003</v>
          </cell>
          <cell r="K455" t="str">
            <v>P0023</v>
          </cell>
          <cell r="N455" t="str">
            <v>Robert PANTOŁA (Dubiecko)</v>
          </cell>
        </row>
        <row r="456">
          <cell r="A456" t="str">
            <v/>
          </cell>
          <cell r="B456" t="str">
            <v/>
          </cell>
          <cell r="H456" t="str">
            <v/>
          </cell>
          <cell r="K456" t="str">
            <v/>
          </cell>
          <cell r="N456" t="str">
            <v/>
          </cell>
        </row>
        <row r="458">
          <cell r="B458" t="str">
            <v>zwycięzca(cy): 21:16,21:12</v>
          </cell>
          <cell r="K458" t="str">
            <v/>
          </cell>
        </row>
        <row r="459">
          <cell r="B459">
            <v>66</v>
          </cell>
          <cell r="C459" t="str">
            <v>dzień turnieju.</v>
          </cell>
          <cell r="I459" t="str">
            <v>Nr meczu</v>
          </cell>
          <cell r="N459" t="str">
            <v>Godz.</v>
          </cell>
          <cell r="R459" t="str">
            <v>S. prow.</v>
          </cell>
          <cell r="AF459" t="str">
            <v>wygrany</v>
          </cell>
          <cell r="AG459" t="str">
            <v>przegrany</v>
          </cell>
        </row>
        <row r="460">
          <cell r="B460" t="str">
            <v>Boisko</v>
          </cell>
          <cell r="C460" t="str">
            <v>Gra</v>
          </cell>
          <cell r="I460">
            <v>66</v>
          </cell>
          <cell r="N460" t="str">
            <v>rozp.</v>
          </cell>
          <cell r="P460" t="str">
            <v>zak.</v>
          </cell>
          <cell r="R460" t="str">
            <v>S. serw.</v>
          </cell>
        </row>
        <row r="461">
          <cell r="A461">
            <v>66</v>
          </cell>
          <cell r="C461" t="str">
            <v>Old Boys</v>
          </cell>
          <cell r="H461">
            <v>21</v>
          </cell>
          <cell r="I461">
            <v>15</v>
          </cell>
          <cell r="J461">
            <v>21</v>
          </cell>
          <cell r="K461">
            <v>9</v>
          </cell>
          <cell r="R461">
            <v>0</v>
          </cell>
          <cell r="S461" t="str">
            <v>godz.14:20</v>
          </cell>
          <cell r="X461">
            <v>66</v>
          </cell>
          <cell r="Y461" t="str">
            <v>Old Boys</v>
          </cell>
          <cell r="Z461" t="str">
            <v>B0009</v>
          </cell>
          <cell r="AA461" t="str">
            <v/>
          </cell>
          <cell r="AB461" t="str">
            <v>O0004</v>
          </cell>
          <cell r="AC461" t="str">
            <v/>
          </cell>
          <cell r="AD461" t="str">
            <v>B0009</v>
          </cell>
          <cell r="AE461" t="str">
            <v/>
          </cell>
          <cell r="AF461" t="str">
            <v>21:15,21:9</v>
          </cell>
          <cell r="AG461" t="str">
            <v>15:21,9:21</v>
          </cell>
          <cell r="AH461" t="str">
            <v/>
          </cell>
          <cell r="AI461">
            <v>21</v>
          </cell>
          <cell r="AJ461">
            <v>15</v>
          </cell>
          <cell r="AK461">
            <v>21</v>
          </cell>
          <cell r="AL461">
            <v>9</v>
          </cell>
          <cell r="AM461">
            <v>0</v>
          </cell>
          <cell r="AN461">
            <v>0</v>
          </cell>
        </row>
        <row r="462">
          <cell r="A462" t="str">
            <v/>
          </cell>
          <cell r="B462" t="str">
            <v>Adam BUNIO (Nowa Dęba)</v>
          </cell>
          <cell r="H462" t="str">
            <v>B0009</v>
          </cell>
          <cell r="K462" t="str">
            <v>O0004</v>
          </cell>
          <cell r="N462" t="str">
            <v>Krzysztof ORZECHOWICZ (Tarnowiec)</v>
          </cell>
        </row>
        <row r="463">
          <cell r="A463" t="str">
            <v/>
          </cell>
          <cell r="B463" t="str">
            <v/>
          </cell>
          <cell r="H463" t="str">
            <v/>
          </cell>
          <cell r="K463" t="str">
            <v/>
          </cell>
          <cell r="N463" t="str">
            <v/>
          </cell>
        </row>
        <row r="465">
          <cell r="B465" t="str">
            <v>zwycięzca(cy): 21:15,21:9</v>
          </cell>
          <cell r="K465" t="str">
            <v/>
          </cell>
        </row>
        <row r="466">
          <cell r="B466">
            <v>67</v>
          </cell>
          <cell r="C466" t="str">
            <v>dzień turnieju.</v>
          </cell>
          <cell r="I466" t="str">
            <v>Nr meczu</v>
          </cell>
          <cell r="N466" t="str">
            <v>Godz.</v>
          </cell>
          <cell r="R466" t="str">
            <v>S. prow.</v>
          </cell>
          <cell r="AF466" t="str">
            <v>wygrany</v>
          </cell>
          <cell r="AG466" t="str">
            <v>przegrany</v>
          </cell>
        </row>
        <row r="467">
          <cell r="B467" t="str">
            <v>Boisko</v>
          </cell>
          <cell r="C467" t="str">
            <v>Gra</v>
          </cell>
          <cell r="I467">
            <v>67</v>
          </cell>
          <cell r="N467" t="str">
            <v>rozp.</v>
          </cell>
          <cell r="P467" t="str">
            <v>zak.</v>
          </cell>
          <cell r="R467" t="str">
            <v>S. serw.</v>
          </cell>
        </row>
        <row r="468">
          <cell r="A468">
            <v>67</v>
          </cell>
          <cell r="C468" t="str">
            <v>Old Boys</v>
          </cell>
          <cell r="H468">
            <v>21</v>
          </cell>
          <cell r="I468">
            <v>19</v>
          </cell>
          <cell r="J468">
            <v>22</v>
          </cell>
          <cell r="K468">
            <v>20</v>
          </cell>
          <cell r="R468">
            <v>0</v>
          </cell>
          <cell r="S468" t="str">
            <v>godz.14:20</v>
          </cell>
          <cell r="X468">
            <v>67</v>
          </cell>
          <cell r="Y468" t="str">
            <v>Old Boys</v>
          </cell>
          <cell r="Z468" t="str">
            <v>K0038</v>
          </cell>
          <cell r="AA468" t="str">
            <v/>
          </cell>
          <cell r="AB468" t="str">
            <v>O0001</v>
          </cell>
          <cell r="AC468" t="str">
            <v/>
          </cell>
          <cell r="AD468" t="str">
            <v>K0038</v>
          </cell>
          <cell r="AE468" t="str">
            <v/>
          </cell>
          <cell r="AF468" t="str">
            <v>21:19,22:20</v>
          </cell>
          <cell r="AG468" t="str">
            <v>19:21,20:22</v>
          </cell>
          <cell r="AH468" t="str">
            <v/>
          </cell>
          <cell r="AI468">
            <v>21</v>
          </cell>
          <cell r="AJ468">
            <v>19</v>
          </cell>
          <cell r="AK468">
            <v>22</v>
          </cell>
          <cell r="AL468">
            <v>20</v>
          </cell>
          <cell r="AM468">
            <v>0</v>
          </cell>
          <cell r="AN468">
            <v>0</v>
          </cell>
        </row>
        <row r="469">
          <cell r="A469" t="str">
            <v/>
          </cell>
          <cell r="B469" t="str">
            <v>Wojciech KWOLEK (Mielec)</v>
          </cell>
          <cell r="H469" t="str">
            <v>K0038</v>
          </cell>
          <cell r="K469" t="str">
            <v>O0001</v>
          </cell>
          <cell r="N469" t="str">
            <v>Krzysztof OSTROWSKI (Mielec)</v>
          </cell>
        </row>
        <row r="470">
          <cell r="A470" t="str">
            <v/>
          </cell>
          <cell r="B470" t="str">
            <v/>
          </cell>
          <cell r="H470" t="str">
            <v/>
          </cell>
          <cell r="K470" t="str">
            <v/>
          </cell>
          <cell r="N470" t="str">
            <v/>
          </cell>
        </row>
        <row r="472">
          <cell r="B472" t="str">
            <v>zwycięzca(cy): 21:19,22:20</v>
          </cell>
          <cell r="K472" t="str">
            <v/>
          </cell>
        </row>
        <row r="473">
          <cell r="B473">
            <v>68</v>
          </cell>
          <cell r="C473" t="str">
            <v>dzień turnieju.</v>
          </cell>
          <cell r="I473" t="str">
            <v>Nr meczu</v>
          </cell>
          <cell r="N473" t="str">
            <v>Godz.</v>
          </cell>
          <cell r="R473" t="str">
            <v>S. prow.</v>
          </cell>
          <cell r="AF473" t="str">
            <v>wygrany</v>
          </cell>
          <cell r="AG473" t="str">
            <v>przegrany</v>
          </cell>
        </row>
        <row r="474">
          <cell r="B474" t="str">
            <v>Boisko</v>
          </cell>
          <cell r="C474" t="str">
            <v>Gra</v>
          </cell>
          <cell r="I474">
            <v>68</v>
          </cell>
          <cell r="N474" t="str">
            <v>rozp.</v>
          </cell>
          <cell r="P474" t="str">
            <v>zak.</v>
          </cell>
          <cell r="R474" t="str">
            <v>S. serw.</v>
          </cell>
        </row>
        <row r="475">
          <cell r="A475">
            <v>68</v>
          </cell>
          <cell r="C475" t="str">
            <v>Old Boys</v>
          </cell>
          <cell r="H475">
            <v>21</v>
          </cell>
          <cell r="I475">
            <v>19</v>
          </cell>
          <cell r="J475">
            <v>21</v>
          </cell>
          <cell r="K475">
            <v>9</v>
          </cell>
          <cell r="R475">
            <v>0</v>
          </cell>
          <cell r="S475" t="str">
            <v>godz.14:20</v>
          </cell>
          <cell r="X475">
            <v>68</v>
          </cell>
          <cell r="Y475" t="str">
            <v>Old Boys</v>
          </cell>
          <cell r="Z475" t="str">
            <v>M0008</v>
          </cell>
          <cell r="AA475" t="str">
            <v/>
          </cell>
          <cell r="AB475" t="str">
            <v>P0023</v>
          </cell>
          <cell r="AC475" t="str">
            <v/>
          </cell>
          <cell r="AD475" t="str">
            <v>M0008</v>
          </cell>
          <cell r="AE475" t="str">
            <v/>
          </cell>
          <cell r="AF475" t="str">
            <v>21:19,21:9</v>
          </cell>
          <cell r="AG475" t="str">
            <v>19:21,9:21</v>
          </cell>
          <cell r="AH475" t="str">
            <v/>
          </cell>
          <cell r="AI475">
            <v>21</v>
          </cell>
          <cell r="AJ475">
            <v>19</v>
          </cell>
          <cell r="AK475">
            <v>21</v>
          </cell>
          <cell r="AL475">
            <v>9</v>
          </cell>
          <cell r="AM475">
            <v>0</v>
          </cell>
          <cell r="AN475">
            <v>0</v>
          </cell>
        </row>
        <row r="476">
          <cell r="A476" t="str">
            <v/>
          </cell>
          <cell r="B476" t="str">
            <v>Tadeusz MICHALIK (Tarnów)</v>
          </cell>
          <cell r="H476" t="str">
            <v>M0008</v>
          </cell>
          <cell r="K476" t="str">
            <v>P0023</v>
          </cell>
          <cell r="N476" t="str">
            <v>Robert PANTOŁA (Dubiecko)</v>
          </cell>
        </row>
        <row r="477">
          <cell r="A477" t="str">
            <v/>
          </cell>
          <cell r="B477" t="str">
            <v/>
          </cell>
          <cell r="H477" t="str">
            <v/>
          </cell>
          <cell r="K477" t="str">
            <v/>
          </cell>
          <cell r="N477" t="str">
            <v/>
          </cell>
        </row>
        <row r="479">
          <cell r="B479" t="str">
            <v>zwycięzca(cy): 21:19,21:9</v>
          </cell>
          <cell r="K479" t="str">
            <v/>
          </cell>
        </row>
        <row r="480">
          <cell r="B480">
            <v>69</v>
          </cell>
          <cell r="C480" t="str">
            <v>dzień turnieju.</v>
          </cell>
          <cell r="I480" t="str">
            <v>Nr meczu</v>
          </cell>
          <cell r="N480" t="str">
            <v>Godz.</v>
          </cell>
          <cell r="R480" t="str">
            <v>S. prow.</v>
          </cell>
          <cell r="AF480" t="str">
            <v>wygrany</v>
          </cell>
          <cell r="AG480" t="str">
            <v>przegrany</v>
          </cell>
        </row>
        <row r="481">
          <cell r="B481" t="str">
            <v>Boisko</v>
          </cell>
          <cell r="C481" t="str">
            <v>Gra</v>
          </cell>
          <cell r="I481">
            <v>69</v>
          </cell>
          <cell r="N481" t="str">
            <v>rozp.</v>
          </cell>
          <cell r="P481" t="str">
            <v>zak.</v>
          </cell>
          <cell r="R481" t="str">
            <v>S. serw.</v>
          </cell>
        </row>
        <row r="482">
          <cell r="A482">
            <v>69</v>
          </cell>
          <cell r="C482" t="str">
            <v>Old Boys</v>
          </cell>
          <cell r="H482">
            <v>12</v>
          </cell>
          <cell r="I482">
            <v>21</v>
          </cell>
          <cell r="J482">
            <v>8</v>
          </cell>
          <cell r="K482">
            <v>21</v>
          </cell>
          <cell r="R482">
            <v>0</v>
          </cell>
          <cell r="S482" t="str">
            <v>godz.14:40</v>
          </cell>
          <cell r="X482">
            <v>69</v>
          </cell>
          <cell r="Y482" t="str">
            <v>Old Boys</v>
          </cell>
          <cell r="Z482" t="str">
            <v>O0001</v>
          </cell>
          <cell r="AA482" t="str">
            <v/>
          </cell>
          <cell r="AB482" t="str">
            <v>O0004</v>
          </cell>
          <cell r="AC482" t="str">
            <v/>
          </cell>
          <cell r="AD482" t="str">
            <v>O0004</v>
          </cell>
          <cell r="AE482" t="str">
            <v/>
          </cell>
          <cell r="AF482" t="str">
            <v>21:12,21:8</v>
          </cell>
          <cell r="AG482" t="str">
            <v>12:21,8:21</v>
          </cell>
          <cell r="AH482" t="str">
            <v/>
          </cell>
          <cell r="AI482">
            <v>12</v>
          </cell>
          <cell r="AJ482">
            <v>21</v>
          </cell>
          <cell r="AK482">
            <v>8</v>
          </cell>
          <cell r="AL482">
            <v>21</v>
          </cell>
          <cell r="AM482">
            <v>0</v>
          </cell>
          <cell r="AN482">
            <v>0</v>
          </cell>
        </row>
        <row r="483">
          <cell r="A483" t="str">
            <v/>
          </cell>
          <cell r="B483" t="str">
            <v>Krzysztof OSTROWSKI (Mielec)</v>
          </cell>
          <cell r="H483" t="str">
            <v>O0001</v>
          </cell>
          <cell r="K483" t="str">
            <v>O0004</v>
          </cell>
          <cell r="N483" t="str">
            <v>Krzysztof ORZECHOWICZ (Tarnowiec)</v>
          </cell>
        </row>
        <row r="484">
          <cell r="A484" t="str">
            <v/>
          </cell>
          <cell r="B484" t="str">
            <v/>
          </cell>
          <cell r="H484" t="str">
            <v/>
          </cell>
          <cell r="K484" t="str">
            <v/>
          </cell>
          <cell r="N484" t="str">
            <v/>
          </cell>
        </row>
        <row r="486">
          <cell r="B486" t="str">
            <v/>
          </cell>
          <cell r="K486" t="str">
            <v>zwycięzca(cy): 21:12,21:8</v>
          </cell>
        </row>
        <row r="487">
          <cell r="B487">
            <v>70</v>
          </cell>
          <cell r="C487" t="str">
            <v>dzień turnieju.</v>
          </cell>
          <cell r="I487" t="str">
            <v>Nr meczu</v>
          </cell>
          <cell r="N487" t="str">
            <v>Godz.</v>
          </cell>
          <cell r="R487" t="str">
            <v>S. prow.</v>
          </cell>
          <cell r="AF487" t="str">
            <v>wygrany</v>
          </cell>
          <cell r="AG487" t="str">
            <v>przegrany</v>
          </cell>
        </row>
        <row r="488">
          <cell r="B488" t="str">
            <v>Boisko</v>
          </cell>
          <cell r="C488" t="str">
            <v>Gra</v>
          </cell>
          <cell r="I488">
            <v>70</v>
          </cell>
          <cell r="N488" t="str">
            <v>rozp.</v>
          </cell>
          <cell r="P488" t="str">
            <v>zak.</v>
          </cell>
          <cell r="R488" t="str">
            <v>S. serw.</v>
          </cell>
        </row>
        <row r="489">
          <cell r="A489">
            <v>70</v>
          </cell>
          <cell r="C489" t="str">
            <v>Old Boys</v>
          </cell>
          <cell r="H489">
            <v>21</v>
          </cell>
          <cell r="I489">
            <v>9</v>
          </cell>
          <cell r="J489">
            <v>21</v>
          </cell>
          <cell r="K489">
            <v>7</v>
          </cell>
          <cell r="R489">
            <v>0</v>
          </cell>
          <cell r="S489" t="str">
            <v>godz.14:40</v>
          </cell>
          <cell r="X489">
            <v>70</v>
          </cell>
          <cell r="Y489" t="str">
            <v>Old Boys</v>
          </cell>
          <cell r="Z489" t="str">
            <v>B0009</v>
          </cell>
          <cell r="AA489" t="str">
            <v/>
          </cell>
          <cell r="AB489" t="str">
            <v>K0038</v>
          </cell>
          <cell r="AC489" t="str">
            <v/>
          </cell>
          <cell r="AD489" t="str">
            <v>B0009</v>
          </cell>
          <cell r="AE489" t="str">
            <v/>
          </cell>
          <cell r="AF489" t="str">
            <v>21:9,21:7</v>
          </cell>
          <cell r="AG489" t="str">
            <v>9:21,7:21</v>
          </cell>
          <cell r="AH489" t="str">
            <v/>
          </cell>
          <cell r="AI489">
            <v>21</v>
          </cell>
          <cell r="AJ489">
            <v>9</v>
          </cell>
          <cell r="AK489">
            <v>21</v>
          </cell>
          <cell r="AL489">
            <v>7</v>
          </cell>
          <cell r="AM489">
            <v>0</v>
          </cell>
          <cell r="AN489">
            <v>0</v>
          </cell>
        </row>
        <row r="490">
          <cell r="A490" t="str">
            <v/>
          </cell>
          <cell r="B490" t="str">
            <v>Adam BUNIO (Nowa Dęba)</v>
          </cell>
          <cell r="H490" t="str">
            <v>B0009</v>
          </cell>
          <cell r="K490" t="str">
            <v>K0038</v>
          </cell>
          <cell r="N490" t="str">
            <v>Wojciech KWOLEK (Mielec)</v>
          </cell>
        </row>
        <row r="491">
          <cell r="A491" t="str">
            <v/>
          </cell>
          <cell r="B491" t="str">
            <v/>
          </cell>
          <cell r="H491" t="str">
            <v/>
          </cell>
          <cell r="K491" t="str">
            <v/>
          </cell>
          <cell r="N491" t="str">
            <v/>
          </cell>
        </row>
        <row r="493">
          <cell r="B493" t="str">
            <v>zwycięzca(cy): 21:9,21:7</v>
          </cell>
          <cell r="K493" t="str">
            <v/>
          </cell>
        </row>
        <row r="494">
          <cell r="B494">
            <v>71</v>
          </cell>
          <cell r="C494" t="str">
            <v>dzień turnieju.</v>
          </cell>
          <cell r="I494" t="str">
            <v>Nr meczu</v>
          </cell>
          <cell r="N494" t="str">
            <v>Godz.</v>
          </cell>
          <cell r="R494" t="str">
            <v>S. prow.</v>
          </cell>
          <cell r="AF494" t="str">
            <v>wygrany</v>
          </cell>
          <cell r="AG494" t="str">
            <v>przegrany</v>
          </cell>
        </row>
        <row r="495">
          <cell r="B495" t="str">
            <v>Boisko</v>
          </cell>
          <cell r="C495" t="str">
            <v>Gra</v>
          </cell>
          <cell r="I495">
            <v>71</v>
          </cell>
          <cell r="N495" t="str">
            <v>rozp.</v>
          </cell>
          <cell r="P495" t="str">
            <v>zak.</v>
          </cell>
          <cell r="R495" t="str">
            <v>S. serw.</v>
          </cell>
        </row>
        <row r="496">
          <cell r="A496">
            <v>71</v>
          </cell>
          <cell r="C496" t="str">
            <v>Old Boys</v>
          </cell>
          <cell r="H496">
            <v>21</v>
          </cell>
          <cell r="I496">
            <v>17</v>
          </cell>
          <cell r="J496">
            <v>19</v>
          </cell>
          <cell r="K496">
            <v>21</v>
          </cell>
          <cell r="L496">
            <v>12</v>
          </cell>
          <cell r="M496">
            <v>21</v>
          </cell>
          <cell r="R496">
            <v>0</v>
          </cell>
          <cell r="S496" t="str">
            <v>godz.14:40</v>
          </cell>
          <cell r="X496">
            <v>71</v>
          </cell>
          <cell r="Y496" t="str">
            <v>Old Boys</v>
          </cell>
          <cell r="Z496" t="str">
            <v>K0003</v>
          </cell>
          <cell r="AA496" t="str">
            <v/>
          </cell>
          <cell r="AB496" t="str">
            <v>M0008</v>
          </cell>
          <cell r="AC496" t="str">
            <v/>
          </cell>
          <cell r="AD496" t="str">
            <v>M0008</v>
          </cell>
          <cell r="AE496" t="str">
            <v/>
          </cell>
          <cell r="AF496" t="str">
            <v>17:21,21:19,21:12</v>
          </cell>
          <cell r="AG496" t="str">
            <v>21:17,19:21,12:21</v>
          </cell>
          <cell r="AH496" t="str">
            <v/>
          </cell>
          <cell r="AI496">
            <v>21</v>
          </cell>
          <cell r="AJ496">
            <v>17</v>
          </cell>
          <cell r="AK496">
            <v>19</v>
          </cell>
          <cell r="AL496">
            <v>21</v>
          </cell>
          <cell r="AM496">
            <v>12</v>
          </cell>
          <cell r="AN496">
            <v>21</v>
          </cell>
        </row>
        <row r="497">
          <cell r="A497" t="str">
            <v/>
          </cell>
          <cell r="B497" t="str">
            <v>Robert KARNASIEWICZ (Mielec)</v>
          </cell>
          <cell r="H497" t="str">
            <v>K0003</v>
          </cell>
          <cell r="K497" t="str">
            <v>M0008</v>
          </cell>
          <cell r="N497" t="str">
            <v>Tadeusz MICHALIK (Tarnów)</v>
          </cell>
        </row>
        <row r="498">
          <cell r="A498" t="str">
            <v/>
          </cell>
          <cell r="B498" t="str">
            <v/>
          </cell>
          <cell r="H498" t="str">
            <v/>
          </cell>
          <cell r="K498" t="str">
            <v/>
          </cell>
          <cell r="N498" t="str">
            <v/>
          </cell>
        </row>
        <row r="500">
          <cell r="B500" t="str">
            <v/>
          </cell>
          <cell r="K500" t="str">
            <v>zwycięzca(cy): 17:21,21:19,21:12</v>
          </cell>
        </row>
        <row r="501">
          <cell r="B501">
            <v>72</v>
          </cell>
          <cell r="C501" t="str">
            <v>dzień turnieju.</v>
          </cell>
          <cell r="I501" t="str">
            <v>Nr meczu</v>
          </cell>
          <cell r="N501" t="str">
            <v>Godz.</v>
          </cell>
          <cell r="R501" t="str">
            <v>S. prow.</v>
          </cell>
          <cell r="AF501" t="str">
            <v>wygrany</v>
          </cell>
          <cell r="AG501" t="str">
            <v>przegrany</v>
          </cell>
        </row>
        <row r="502">
          <cell r="B502" t="str">
            <v>Boisko</v>
          </cell>
          <cell r="C502" t="str">
            <v>Gra</v>
          </cell>
          <cell r="I502">
            <v>72</v>
          </cell>
          <cell r="N502" t="str">
            <v>rozp.</v>
          </cell>
          <cell r="P502" t="str">
            <v>zak.</v>
          </cell>
          <cell r="R502" t="str">
            <v>S. serw.</v>
          </cell>
        </row>
        <row r="503">
          <cell r="A503">
            <v>72</v>
          </cell>
          <cell r="C503" t="str">
            <v>Old Boys</v>
          </cell>
          <cell r="H503">
            <v>18</v>
          </cell>
          <cell r="I503">
            <v>21</v>
          </cell>
          <cell r="J503">
            <v>12</v>
          </cell>
          <cell r="K503">
            <v>21</v>
          </cell>
          <cell r="R503">
            <v>0</v>
          </cell>
          <cell r="S503" t="str">
            <v>godz.14:40</v>
          </cell>
          <cell r="X503">
            <v>72</v>
          </cell>
          <cell r="Y503" t="str">
            <v>Old Boys</v>
          </cell>
          <cell r="Z503" t="str">
            <v>O0004</v>
          </cell>
          <cell r="AA503" t="str">
            <v/>
          </cell>
          <cell r="AB503" t="str">
            <v>K0003</v>
          </cell>
          <cell r="AC503" t="str">
            <v/>
          </cell>
          <cell r="AD503" t="str">
            <v>K0003</v>
          </cell>
          <cell r="AE503" t="str">
            <v/>
          </cell>
          <cell r="AF503" t="str">
            <v>21:18,21:12</v>
          </cell>
          <cell r="AG503" t="str">
            <v>18:21,12:21</v>
          </cell>
          <cell r="AH503" t="str">
            <v/>
          </cell>
          <cell r="AI503">
            <v>18</v>
          </cell>
          <cell r="AJ503">
            <v>21</v>
          </cell>
          <cell r="AK503">
            <v>12</v>
          </cell>
          <cell r="AL503">
            <v>21</v>
          </cell>
          <cell r="AM503">
            <v>0</v>
          </cell>
          <cell r="AN503">
            <v>0</v>
          </cell>
        </row>
        <row r="504">
          <cell r="A504" t="str">
            <v/>
          </cell>
          <cell r="B504" t="str">
            <v>Krzysztof ORZECHOWICZ (Tarnowiec)</v>
          </cell>
          <cell r="H504" t="str">
            <v>O0004</v>
          </cell>
          <cell r="K504" t="str">
            <v>K0003</v>
          </cell>
          <cell r="N504" t="str">
            <v>Robert KARNASIEWICZ (Mielec)</v>
          </cell>
        </row>
        <row r="505">
          <cell r="A505" t="str">
            <v/>
          </cell>
          <cell r="B505" t="str">
            <v/>
          </cell>
          <cell r="H505" t="str">
            <v/>
          </cell>
          <cell r="K505" t="str">
            <v/>
          </cell>
          <cell r="N505" t="str">
            <v/>
          </cell>
        </row>
        <row r="507">
          <cell r="B507" t="str">
            <v/>
          </cell>
          <cell r="K507" t="str">
            <v>zwycięzca(cy): 21:18,21:12</v>
          </cell>
        </row>
        <row r="508">
          <cell r="B508">
            <v>73</v>
          </cell>
          <cell r="C508" t="str">
            <v>dzień turnieju.</v>
          </cell>
          <cell r="I508" t="str">
            <v>Nr meczu</v>
          </cell>
          <cell r="N508" t="str">
            <v>Godz.</v>
          </cell>
          <cell r="R508" t="str">
            <v>S. prow.</v>
          </cell>
          <cell r="AF508" t="str">
            <v>wygrany</v>
          </cell>
          <cell r="AG508" t="str">
            <v>przegrany</v>
          </cell>
        </row>
        <row r="509">
          <cell r="B509" t="str">
            <v>Boisko</v>
          </cell>
          <cell r="C509" t="str">
            <v>Gra</v>
          </cell>
          <cell r="I509">
            <v>73</v>
          </cell>
          <cell r="N509" t="str">
            <v>rozp.</v>
          </cell>
          <cell r="P509" t="str">
            <v>zak.</v>
          </cell>
          <cell r="R509" t="str">
            <v>S. serw.</v>
          </cell>
        </row>
        <row r="510">
          <cell r="A510">
            <v>73</v>
          </cell>
          <cell r="C510" t="str">
            <v>Old Boys</v>
          </cell>
          <cell r="H510">
            <v>21</v>
          </cell>
          <cell r="I510">
            <v>13</v>
          </cell>
          <cell r="J510">
            <v>21</v>
          </cell>
          <cell r="K510">
            <v>9</v>
          </cell>
          <cell r="R510">
            <v>0</v>
          </cell>
          <cell r="S510" t="str">
            <v>godz.15:00</v>
          </cell>
          <cell r="X510">
            <v>73</v>
          </cell>
          <cell r="Y510" t="str">
            <v>Old Boys</v>
          </cell>
          <cell r="Z510" t="str">
            <v>B0009</v>
          </cell>
          <cell r="AA510" t="str">
            <v/>
          </cell>
          <cell r="AB510" t="str">
            <v>M0008</v>
          </cell>
          <cell r="AC510" t="str">
            <v/>
          </cell>
          <cell r="AD510" t="str">
            <v>B0009</v>
          </cell>
          <cell r="AE510" t="str">
            <v/>
          </cell>
          <cell r="AF510" t="str">
            <v>21:13,21:9</v>
          </cell>
          <cell r="AG510" t="str">
            <v>13:21,9:21</v>
          </cell>
          <cell r="AH510" t="str">
            <v/>
          </cell>
          <cell r="AI510">
            <v>21</v>
          </cell>
          <cell r="AJ510">
            <v>13</v>
          </cell>
          <cell r="AK510">
            <v>21</v>
          </cell>
          <cell r="AL510">
            <v>9</v>
          </cell>
          <cell r="AM510">
            <v>0</v>
          </cell>
          <cell r="AN510">
            <v>0</v>
          </cell>
        </row>
        <row r="511">
          <cell r="A511" t="str">
            <v/>
          </cell>
          <cell r="B511" t="str">
            <v>Adam BUNIO (Nowa Dęba)</v>
          </cell>
          <cell r="H511" t="str">
            <v>B0009</v>
          </cell>
          <cell r="K511" t="str">
            <v>M0008</v>
          </cell>
          <cell r="N511" t="str">
            <v>Tadeusz MICHALIK (Tarnów)</v>
          </cell>
        </row>
        <row r="512">
          <cell r="A512" t="str">
            <v/>
          </cell>
          <cell r="B512" t="str">
            <v/>
          </cell>
          <cell r="H512" t="str">
            <v/>
          </cell>
          <cell r="K512" t="str">
            <v/>
          </cell>
          <cell r="N512" t="str">
            <v/>
          </cell>
        </row>
        <row r="514">
          <cell r="B514" t="str">
            <v>zwycięzca(cy): 21:13,21:9</v>
          </cell>
          <cell r="K514" t="str">
            <v/>
          </cell>
        </row>
        <row r="515">
          <cell r="B515">
            <v>74</v>
          </cell>
          <cell r="C515" t="str">
            <v>dzień turnieju.</v>
          </cell>
          <cell r="I515" t="str">
            <v>Nr meczu</v>
          </cell>
          <cell r="N515" t="str">
            <v>Godz.</v>
          </cell>
          <cell r="R515" t="str">
            <v>S. prow.</v>
          </cell>
          <cell r="AF515" t="str">
            <v>wygrany</v>
          </cell>
          <cell r="AG515" t="str">
            <v>przegrany</v>
          </cell>
        </row>
        <row r="516">
          <cell r="B516" t="str">
            <v>Boisko</v>
          </cell>
          <cell r="C516" t="str">
            <v>Gra</v>
          </cell>
          <cell r="I516">
            <v>74</v>
          </cell>
          <cell r="N516" t="str">
            <v>rozp.</v>
          </cell>
          <cell r="P516" t="str">
            <v>zak.</v>
          </cell>
          <cell r="R516" t="str">
            <v>S. serw.</v>
          </cell>
        </row>
        <row r="517">
          <cell r="A517">
            <v>74</v>
          </cell>
          <cell r="C517" t="str">
            <v>Open</v>
          </cell>
          <cell r="H517">
            <v>9</v>
          </cell>
          <cell r="I517">
            <v>21</v>
          </cell>
          <cell r="J517">
            <v>11</v>
          </cell>
          <cell r="K517">
            <v>21</v>
          </cell>
          <cell r="R517">
            <v>0</v>
          </cell>
          <cell r="S517" t="str">
            <v>godz.15:00</v>
          </cell>
          <cell r="X517">
            <v>74</v>
          </cell>
          <cell r="Y517" t="str">
            <v>Open</v>
          </cell>
          <cell r="Z517" t="str">
            <v>S0020</v>
          </cell>
          <cell r="AA517" t="str">
            <v/>
          </cell>
          <cell r="AB517" t="str">
            <v>B0009</v>
          </cell>
          <cell r="AC517" t="str">
            <v/>
          </cell>
          <cell r="AD517" t="str">
            <v>B0009</v>
          </cell>
          <cell r="AE517" t="str">
            <v/>
          </cell>
          <cell r="AF517" t="str">
            <v>21:9,21:11</v>
          </cell>
          <cell r="AG517" t="str">
            <v>9:21,11:21</v>
          </cell>
          <cell r="AH517" t="str">
            <v/>
          </cell>
          <cell r="AI517">
            <v>9</v>
          </cell>
          <cell r="AJ517">
            <v>21</v>
          </cell>
          <cell r="AK517">
            <v>11</v>
          </cell>
          <cell r="AL517">
            <v>21</v>
          </cell>
          <cell r="AM517">
            <v>0</v>
          </cell>
          <cell r="AN517">
            <v>0</v>
          </cell>
        </row>
        <row r="518">
          <cell r="A518" t="str">
            <v/>
          </cell>
          <cell r="B518" t="str">
            <v>Mariusz SŁOMBA (Mielec)</v>
          </cell>
          <cell r="H518" t="str">
            <v>S0020</v>
          </cell>
          <cell r="K518" t="str">
            <v>B0009</v>
          </cell>
          <cell r="N518" t="str">
            <v>Adam BUNIO (Nowa Dęba)</v>
          </cell>
        </row>
        <row r="519">
          <cell r="A519" t="str">
            <v/>
          </cell>
          <cell r="B519" t="str">
            <v/>
          </cell>
          <cell r="H519" t="str">
            <v/>
          </cell>
          <cell r="K519" t="str">
            <v/>
          </cell>
          <cell r="N519" t="str">
            <v/>
          </cell>
        </row>
        <row r="521">
          <cell r="B521" t="str">
            <v/>
          </cell>
          <cell r="K521" t="str">
            <v>zwycięzca(cy): 21:9,21:11</v>
          </cell>
        </row>
        <row r="522">
          <cell r="B522">
            <v>75</v>
          </cell>
          <cell r="C522" t="str">
            <v>dzień turnieju.</v>
          </cell>
          <cell r="I522" t="str">
            <v>Nr meczu</v>
          </cell>
          <cell r="N522" t="str">
            <v>Godz.</v>
          </cell>
          <cell r="R522" t="str">
            <v>S. prow.</v>
          </cell>
          <cell r="AF522" t="str">
            <v>wygrany</v>
          </cell>
          <cell r="AG522" t="str">
            <v>przegrany</v>
          </cell>
        </row>
        <row r="523">
          <cell r="B523" t="str">
            <v>Boisko</v>
          </cell>
          <cell r="C523" t="str">
            <v>Gra</v>
          </cell>
          <cell r="I523">
            <v>75</v>
          </cell>
          <cell r="N523" t="str">
            <v>rozp.</v>
          </cell>
          <cell r="P523" t="str">
            <v>zak.</v>
          </cell>
          <cell r="R523" t="str">
            <v>S. serw.</v>
          </cell>
        </row>
        <row r="524">
          <cell r="A524">
            <v>75</v>
          </cell>
          <cell r="C524" t="str">
            <v>Open</v>
          </cell>
          <cell r="H524">
            <v>21</v>
          </cell>
          <cell r="I524">
            <v>14</v>
          </cell>
          <cell r="J524">
            <v>21</v>
          </cell>
          <cell r="K524">
            <v>6</v>
          </cell>
          <cell r="R524">
            <v>0</v>
          </cell>
          <cell r="S524" t="str">
            <v>godz.15:00</v>
          </cell>
          <cell r="X524">
            <v>75</v>
          </cell>
          <cell r="Y524" t="str">
            <v>Open</v>
          </cell>
          <cell r="Z524" t="str">
            <v>J0001</v>
          </cell>
          <cell r="AA524" t="str">
            <v/>
          </cell>
          <cell r="AB524" t="str">
            <v>S0019</v>
          </cell>
          <cell r="AC524" t="str">
            <v/>
          </cell>
          <cell r="AD524" t="str">
            <v>J0001</v>
          </cell>
          <cell r="AE524" t="str">
            <v/>
          </cell>
          <cell r="AF524" t="str">
            <v>21:14,21:6</v>
          </cell>
          <cell r="AG524" t="str">
            <v>14:21,6:21</v>
          </cell>
          <cell r="AH524" t="str">
            <v/>
          </cell>
          <cell r="AI524">
            <v>21</v>
          </cell>
          <cell r="AJ524">
            <v>14</v>
          </cell>
          <cell r="AK524">
            <v>21</v>
          </cell>
          <cell r="AL524">
            <v>6</v>
          </cell>
          <cell r="AM524">
            <v>0</v>
          </cell>
          <cell r="AN524">
            <v>0</v>
          </cell>
        </row>
        <row r="525">
          <cell r="A525" t="str">
            <v/>
          </cell>
          <cell r="B525" t="str">
            <v>Mateusz JĘDRZEJKO (Rzeszów)</v>
          </cell>
          <cell r="H525" t="str">
            <v>J0001</v>
          </cell>
          <cell r="K525" t="str">
            <v>S0019</v>
          </cell>
          <cell r="N525" t="str">
            <v>Katarzyna  SŁOMBA (Mielec)</v>
          </cell>
        </row>
        <row r="526">
          <cell r="A526" t="str">
            <v/>
          </cell>
          <cell r="B526" t="str">
            <v/>
          </cell>
          <cell r="H526" t="str">
            <v/>
          </cell>
          <cell r="K526" t="str">
            <v/>
          </cell>
          <cell r="N526" t="str">
            <v/>
          </cell>
        </row>
        <row r="528">
          <cell r="B528" t="str">
            <v>zwycięzca(cy): 21:14,21:6</v>
          </cell>
          <cell r="K528" t="str">
            <v/>
          </cell>
        </row>
        <row r="529">
          <cell r="B529">
            <v>76</v>
          </cell>
          <cell r="C529" t="str">
            <v>dzień turnieju.</v>
          </cell>
          <cell r="I529" t="str">
            <v>Nr meczu</v>
          </cell>
          <cell r="N529" t="str">
            <v>Godz.</v>
          </cell>
          <cell r="R529" t="str">
            <v>S. prow.</v>
          </cell>
          <cell r="AF529" t="str">
            <v>wygrany</v>
          </cell>
          <cell r="AG529" t="str">
            <v>przegrany</v>
          </cell>
        </row>
        <row r="530">
          <cell r="B530" t="str">
            <v>Boisko</v>
          </cell>
          <cell r="C530" t="str">
            <v>Gra</v>
          </cell>
          <cell r="I530">
            <v>76</v>
          </cell>
          <cell r="N530" t="str">
            <v>rozp.</v>
          </cell>
          <cell r="P530" t="str">
            <v>zak.</v>
          </cell>
          <cell r="R530" t="str">
            <v>S. serw.</v>
          </cell>
        </row>
        <row r="531">
          <cell r="A531">
            <v>76</v>
          </cell>
          <cell r="C531" t="str">
            <v>Open</v>
          </cell>
          <cell r="H531">
            <v>22</v>
          </cell>
          <cell r="I531">
            <v>20</v>
          </cell>
          <cell r="J531">
            <v>21</v>
          </cell>
          <cell r="K531">
            <v>13</v>
          </cell>
          <cell r="R531">
            <v>0</v>
          </cell>
          <cell r="S531" t="str">
            <v>godz.15:00</v>
          </cell>
          <cell r="X531">
            <v>76</v>
          </cell>
          <cell r="Y531" t="str">
            <v>Open</v>
          </cell>
          <cell r="Z531" t="str">
            <v>I0002</v>
          </cell>
          <cell r="AA531" t="str">
            <v/>
          </cell>
          <cell r="AB531" t="str">
            <v>J0001</v>
          </cell>
          <cell r="AC531" t="str">
            <v/>
          </cell>
          <cell r="AD531" t="str">
            <v>I0002</v>
          </cell>
          <cell r="AE531" t="str">
            <v/>
          </cell>
          <cell r="AF531" t="str">
            <v>22:20,21:13</v>
          </cell>
          <cell r="AG531" t="str">
            <v>20:22,13:21</v>
          </cell>
          <cell r="AH531" t="str">
            <v/>
          </cell>
          <cell r="AI531">
            <v>22</v>
          </cell>
          <cell r="AJ531">
            <v>20</v>
          </cell>
          <cell r="AK531">
            <v>21</v>
          </cell>
          <cell r="AL531">
            <v>13</v>
          </cell>
          <cell r="AM531">
            <v>0</v>
          </cell>
          <cell r="AN531">
            <v>0</v>
          </cell>
        </row>
        <row r="532">
          <cell r="A532" t="str">
            <v/>
          </cell>
          <cell r="B532" t="str">
            <v>Igor IWAŃSKI (Mielec)</v>
          </cell>
          <cell r="H532" t="str">
            <v>I0002</v>
          </cell>
          <cell r="K532" t="str">
            <v>J0001</v>
          </cell>
          <cell r="N532" t="str">
            <v>Mateusz JĘDRZEJKO (Rzeszów)</v>
          </cell>
        </row>
        <row r="533">
          <cell r="A533" t="str">
            <v/>
          </cell>
          <cell r="B533" t="str">
            <v/>
          </cell>
          <cell r="H533" t="str">
            <v/>
          </cell>
          <cell r="K533" t="str">
            <v/>
          </cell>
          <cell r="N533" t="str">
            <v/>
          </cell>
        </row>
        <row r="535">
          <cell r="B535" t="str">
            <v>zwycięzca(cy): 22:20,21:13</v>
          </cell>
          <cell r="K535" t="str">
            <v/>
          </cell>
        </row>
        <row r="536">
          <cell r="B536">
            <v>77</v>
          </cell>
          <cell r="C536" t="str">
            <v>dzień turnieju.</v>
          </cell>
          <cell r="I536" t="str">
            <v>Nr meczu</v>
          </cell>
          <cell r="N536" t="str">
            <v>Godz.</v>
          </cell>
          <cell r="R536" t="str">
            <v>S. prow.</v>
          </cell>
          <cell r="AF536" t="str">
            <v>wygrany</v>
          </cell>
          <cell r="AG536" t="str">
            <v>przegrany</v>
          </cell>
        </row>
        <row r="537">
          <cell r="B537" t="str">
            <v>Boisko</v>
          </cell>
          <cell r="C537" t="str">
            <v>Gra</v>
          </cell>
          <cell r="I537">
            <v>77</v>
          </cell>
          <cell r="N537" t="str">
            <v>rozp.</v>
          </cell>
          <cell r="P537" t="str">
            <v>zak.</v>
          </cell>
          <cell r="R537" t="str">
            <v>S. serw.</v>
          </cell>
        </row>
        <row r="538">
          <cell r="A538">
            <v>77</v>
          </cell>
          <cell r="C538" t="str">
            <v>Open</v>
          </cell>
          <cell r="H538">
            <v>21</v>
          </cell>
          <cell r="I538">
            <v>15</v>
          </cell>
          <cell r="J538">
            <v>14</v>
          </cell>
          <cell r="K538">
            <v>21</v>
          </cell>
          <cell r="L538">
            <v>17</v>
          </cell>
          <cell r="M538">
            <v>21</v>
          </cell>
          <cell r="R538">
            <v>0</v>
          </cell>
          <cell r="S538" t="str">
            <v>godz.15:20</v>
          </cell>
          <cell r="X538">
            <v>77</v>
          </cell>
          <cell r="Y538" t="str">
            <v>Open</v>
          </cell>
          <cell r="Z538" t="str">
            <v>S0019</v>
          </cell>
          <cell r="AA538" t="str">
            <v/>
          </cell>
          <cell r="AB538" t="str">
            <v>B0009</v>
          </cell>
          <cell r="AC538" t="str">
            <v/>
          </cell>
          <cell r="AD538" t="str">
            <v>B0009</v>
          </cell>
          <cell r="AE538" t="str">
            <v/>
          </cell>
          <cell r="AF538" t="str">
            <v>15:21,21:14,21:17</v>
          </cell>
          <cell r="AG538" t="str">
            <v>21:15,14:21,17:21</v>
          </cell>
          <cell r="AH538" t="str">
            <v/>
          </cell>
          <cell r="AI538">
            <v>21</v>
          </cell>
          <cell r="AJ538">
            <v>15</v>
          </cell>
          <cell r="AK538">
            <v>14</v>
          </cell>
          <cell r="AL538">
            <v>21</v>
          </cell>
          <cell r="AM538">
            <v>17</v>
          </cell>
          <cell r="AN538">
            <v>21</v>
          </cell>
        </row>
        <row r="539">
          <cell r="A539" t="str">
            <v/>
          </cell>
          <cell r="B539" t="str">
            <v>Katarzyna  SŁOMBA (Mielec)</v>
          </cell>
          <cell r="H539" t="str">
            <v>S0019</v>
          </cell>
          <cell r="K539" t="str">
            <v>B0009</v>
          </cell>
          <cell r="N539" t="str">
            <v>Adam BUNIO (Nowa Dęba)</v>
          </cell>
        </row>
        <row r="540">
          <cell r="A540" t="str">
            <v/>
          </cell>
          <cell r="B540" t="str">
            <v/>
          </cell>
          <cell r="H540" t="str">
            <v/>
          </cell>
          <cell r="K540" t="str">
            <v/>
          </cell>
          <cell r="N540" t="str">
            <v/>
          </cell>
        </row>
        <row r="542">
          <cell r="B542" t="str">
            <v/>
          </cell>
          <cell r="K542" t="str">
            <v>zwycięzca(cy): 15:21,21:14,21:17</v>
          </cell>
        </row>
        <row r="543">
          <cell r="B543">
            <v>78</v>
          </cell>
          <cell r="C543" t="str">
            <v>dzień turnieju.</v>
          </cell>
          <cell r="I543" t="str">
            <v>Nr meczu</v>
          </cell>
          <cell r="N543" t="str">
            <v>Godz.</v>
          </cell>
          <cell r="R543" t="str">
            <v>S. prow.</v>
          </cell>
          <cell r="AF543" t="str">
            <v>wygrany</v>
          </cell>
          <cell r="AG543" t="str">
            <v>przegrany</v>
          </cell>
        </row>
        <row r="544">
          <cell r="B544" t="str">
            <v>Boisko</v>
          </cell>
          <cell r="C544" t="str">
            <v>Gra</v>
          </cell>
          <cell r="I544">
            <v>78</v>
          </cell>
          <cell r="N544" t="str">
            <v>rozp.</v>
          </cell>
          <cell r="P544" t="str">
            <v>zak.</v>
          </cell>
          <cell r="R544" t="str">
            <v>S. serw.</v>
          </cell>
        </row>
        <row r="545">
          <cell r="A545">
            <v>78</v>
          </cell>
          <cell r="C545" t="str">
            <v>Open</v>
          </cell>
          <cell r="H545">
            <v>13</v>
          </cell>
          <cell r="I545">
            <v>21</v>
          </cell>
          <cell r="J545">
            <v>7</v>
          </cell>
          <cell r="K545">
            <v>21</v>
          </cell>
          <cell r="R545">
            <v>0</v>
          </cell>
          <cell r="S545" t="str">
            <v>godz.15:20</v>
          </cell>
          <cell r="X545">
            <v>78</v>
          </cell>
          <cell r="Y545" t="str">
            <v>Open</v>
          </cell>
          <cell r="Z545" t="str">
            <v>S0019</v>
          </cell>
          <cell r="AA545" t="str">
            <v/>
          </cell>
          <cell r="AB545" t="str">
            <v>S0020</v>
          </cell>
          <cell r="AC545" t="str">
            <v/>
          </cell>
          <cell r="AD545" t="str">
            <v>S0020</v>
          </cell>
          <cell r="AE545" t="str">
            <v/>
          </cell>
          <cell r="AF545" t="str">
            <v>21:13,21:7</v>
          </cell>
          <cell r="AG545" t="str">
            <v>13:21,7:21</v>
          </cell>
          <cell r="AH545" t="str">
            <v/>
          </cell>
          <cell r="AI545">
            <v>13</v>
          </cell>
          <cell r="AJ545">
            <v>21</v>
          </cell>
          <cell r="AK545">
            <v>7</v>
          </cell>
          <cell r="AL545">
            <v>21</v>
          </cell>
          <cell r="AM545">
            <v>0</v>
          </cell>
          <cell r="AN545">
            <v>0</v>
          </cell>
        </row>
        <row r="546">
          <cell r="A546" t="str">
            <v/>
          </cell>
          <cell r="B546" t="str">
            <v>Katarzyna  SŁOMBA (Mielec)</v>
          </cell>
          <cell r="H546" t="str">
            <v>S0019</v>
          </cell>
          <cell r="K546" t="str">
            <v>S0020</v>
          </cell>
          <cell r="N546" t="str">
            <v>Mariusz SŁOMBA (Mielec)</v>
          </cell>
        </row>
        <row r="547">
          <cell r="A547" t="str">
            <v/>
          </cell>
          <cell r="B547" t="str">
            <v/>
          </cell>
          <cell r="H547" t="str">
            <v/>
          </cell>
          <cell r="K547" t="str">
            <v/>
          </cell>
          <cell r="N547" t="str">
            <v/>
          </cell>
        </row>
        <row r="549">
          <cell r="B549" t="str">
            <v/>
          </cell>
          <cell r="K549" t="str">
            <v>zwycięzca(cy): 21:13,21:7</v>
          </cell>
        </row>
        <row r="550">
          <cell r="B550">
            <v>79</v>
          </cell>
          <cell r="C550" t="str">
            <v>dzień turnieju.</v>
          </cell>
          <cell r="I550" t="str">
            <v>Nr meczu</v>
          </cell>
          <cell r="N550" t="str">
            <v>Godz.</v>
          </cell>
          <cell r="R550" t="str">
            <v>S. prow.</v>
          </cell>
          <cell r="AF550" t="str">
            <v>wygrany</v>
          </cell>
          <cell r="AG550" t="str">
            <v>przegrany</v>
          </cell>
        </row>
        <row r="551">
          <cell r="B551" t="str">
            <v>Boisko</v>
          </cell>
          <cell r="C551" t="str">
            <v>Gra</v>
          </cell>
          <cell r="I551">
            <v>79</v>
          </cell>
          <cell r="N551" t="str">
            <v>rozp.</v>
          </cell>
          <cell r="P551" t="str">
            <v>zak.</v>
          </cell>
          <cell r="R551" t="str">
            <v>S. serw.</v>
          </cell>
        </row>
        <row r="552">
          <cell r="A552">
            <v>79</v>
          </cell>
          <cell r="C552" t="str">
            <v>Open</v>
          </cell>
          <cell r="H552">
            <v>21</v>
          </cell>
          <cell r="I552">
            <v>14</v>
          </cell>
          <cell r="J552">
            <v>12</v>
          </cell>
          <cell r="K552">
            <v>21</v>
          </cell>
          <cell r="L552">
            <v>19</v>
          </cell>
          <cell r="M552">
            <v>21</v>
          </cell>
          <cell r="R552">
            <v>0</v>
          </cell>
          <cell r="S552" t="str">
            <v>godz.15:20</v>
          </cell>
          <cell r="X552">
            <v>79</v>
          </cell>
          <cell r="Y552" t="str">
            <v>Open</v>
          </cell>
          <cell r="Z552" t="str">
            <v>B0009</v>
          </cell>
          <cell r="AA552" t="str">
            <v/>
          </cell>
          <cell r="AB552" t="str">
            <v>I0002</v>
          </cell>
          <cell r="AC552" t="str">
            <v/>
          </cell>
          <cell r="AD552" t="str">
            <v>I0002</v>
          </cell>
          <cell r="AE552" t="str">
            <v/>
          </cell>
          <cell r="AF552" t="str">
            <v>14:21,21:12,21:19</v>
          </cell>
          <cell r="AG552" t="str">
            <v>21:14,12:21,19:21</v>
          </cell>
          <cell r="AH552" t="str">
            <v/>
          </cell>
          <cell r="AI552">
            <v>21</v>
          </cell>
          <cell r="AJ552">
            <v>14</v>
          </cell>
          <cell r="AK552">
            <v>12</v>
          </cell>
          <cell r="AL552">
            <v>21</v>
          </cell>
          <cell r="AM552">
            <v>19</v>
          </cell>
          <cell r="AN552">
            <v>21</v>
          </cell>
        </row>
        <row r="553">
          <cell r="A553" t="str">
            <v/>
          </cell>
          <cell r="B553" t="str">
            <v>Adam BUNIO (Nowa Dęba)</v>
          </cell>
          <cell r="H553" t="str">
            <v>B0009</v>
          </cell>
          <cell r="K553" t="str">
            <v>I0002</v>
          </cell>
          <cell r="N553" t="str">
            <v>Igor IWAŃSKI (Mielec)</v>
          </cell>
        </row>
        <row r="554">
          <cell r="A554" t="str">
            <v/>
          </cell>
          <cell r="B554" t="str">
            <v/>
          </cell>
          <cell r="H554" t="str">
            <v/>
          </cell>
          <cell r="K554" t="str">
            <v/>
          </cell>
          <cell r="N554" t="str">
            <v/>
          </cell>
        </row>
        <row r="556">
          <cell r="B556" t="str">
            <v/>
          </cell>
          <cell r="K556" t="str">
            <v>zwycięzca(cy): 14:21,21:12,21:19</v>
          </cell>
        </row>
        <row r="557">
          <cell r="B557">
            <v>80</v>
          </cell>
          <cell r="C557" t="str">
            <v>dzień turnieju.</v>
          </cell>
          <cell r="I557" t="str">
            <v>Nr meczu</v>
          </cell>
          <cell r="N557" t="str">
            <v>Godz.</v>
          </cell>
          <cell r="R557" t="str">
            <v>S. prow.</v>
          </cell>
          <cell r="AF557" t="str">
            <v>wygrany</v>
          </cell>
          <cell r="AG557" t="str">
            <v>przegrany</v>
          </cell>
        </row>
        <row r="558">
          <cell r="B558" t="str">
            <v>Boisko</v>
          </cell>
          <cell r="C558" t="str">
            <v>Gra</v>
          </cell>
          <cell r="I558">
            <v>80</v>
          </cell>
          <cell r="N558" t="str">
            <v>rozp.</v>
          </cell>
          <cell r="P558" t="str">
            <v>zak.</v>
          </cell>
          <cell r="R558" t="str">
            <v>S. serw.</v>
          </cell>
        </row>
        <row r="559">
          <cell r="A559">
            <v>80</v>
          </cell>
          <cell r="C559" t="str">
            <v>Open</v>
          </cell>
          <cell r="H559">
            <v>10</v>
          </cell>
          <cell r="I559">
            <v>21</v>
          </cell>
          <cell r="J559">
            <v>10</v>
          </cell>
          <cell r="K559">
            <v>21</v>
          </cell>
          <cell r="R559">
            <v>0</v>
          </cell>
          <cell r="S559" t="str">
            <v>godz.15:20</v>
          </cell>
          <cell r="X559">
            <v>80</v>
          </cell>
          <cell r="Y559" t="str">
            <v>Open</v>
          </cell>
          <cell r="Z559" t="str">
            <v>S0019</v>
          </cell>
          <cell r="AA559" t="str">
            <v/>
          </cell>
          <cell r="AB559" t="str">
            <v>I0002</v>
          </cell>
          <cell r="AC559" t="str">
            <v/>
          </cell>
          <cell r="AD559" t="str">
            <v>I0002</v>
          </cell>
          <cell r="AE559" t="str">
            <v/>
          </cell>
          <cell r="AF559" t="str">
            <v>21:10,21:10</v>
          </cell>
          <cell r="AG559" t="str">
            <v>10:21,10:21</v>
          </cell>
          <cell r="AH559" t="str">
            <v/>
          </cell>
          <cell r="AI559">
            <v>10</v>
          </cell>
          <cell r="AJ559">
            <v>21</v>
          </cell>
          <cell r="AK559">
            <v>10</v>
          </cell>
          <cell r="AL559">
            <v>21</v>
          </cell>
          <cell r="AM559">
            <v>0</v>
          </cell>
          <cell r="AN559">
            <v>0</v>
          </cell>
        </row>
        <row r="560">
          <cell r="A560" t="str">
            <v/>
          </cell>
          <cell r="B560" t="str">
            <v>Katarzyna  SŁOMBA (Mielec)</v>
          </cell>
          <cell r="H560" t="str">
            <v>S0019</v>
          </cell>
          <cell r="K560" t="str">
            <v>I0002</v>
          </cell>
          <cell r="N560" t="str">
            <v>Igor IWAŃSKI (Mielec)</v>
          </cell>
        </row>
        <row r="561">
          <cell r="A561" t="str">
            <v/>
          </cell>
          <cell r="B561" t="str">
            <v/>
          </cell>
          <cell r="H561" t="str">
            <v/>
          </cell>
          <cell r="K561" t="str">
            <v/>
          </cell>
          <cell r="N561" t="str">
            <v/>
          </cell>
        </row>
        <row r="563">
          <cell r="B563" t="str">
            <v/>
          </cell>
          <cell r="K563" t="str">
            <v>zwycięzca(cy): 21:10,21:10</v>
          </cell>
        </row>
        <row r="564">
          <cell r="B564">
            <v>81</v>
          </cell>
          <cell r="C564" t="str">
            <v>dzień turnieju.</v>
          </cell>
          <cell r="I564" t="str">
            <v>Nr meczu</v>
          </cell>
          <cell r="N564" t="str">
            <v>Godz.</v>
          </cell>
          <cell r="R564" t="str">
            <v>S. prow.</v>
          </cell>
          <cell r="AF564" t="str">
            <v>wygrany</v>
          </cell>
          <cell r="AG564" t="str">
            <v>przegrany</v>
          </cell>
        </row>
        <row r="565">
          <cell r="B565" t="str">
            <v>Boisko</v>
          </cell>
          <cell r="C565" t="str">
            <v>Gra</v>
          </cell>
          <cell r="I565">
            <v>81</v>
          </cell>
          <cell r="N565" t="str">
            <v>rozp.</v>
          </cell>
          <cell r="P565" t="str">
            <v>zak.</v>
          </cell>
          <cell r="R565" t="str">
            <v>S. serw.</v>
          </cell>
        </row>
        <row r="566">
          <cell r="A566">
            <v>81</v>
          </cell>
          <cell r="C566" t="str">
            <v>Open</v>
          </cell>
          <cell r="H566">
            <v>21</v>
          </cell>
          <cell r="I566">
            <v>18</v>
          </cell>
          <cell r="J566">
            <v>21</v>
          </cell>
          <cell r="K566">
            <v>13</v>
          </cell>
          <cell r="R566">
            <v>0</v>
          </cell>
          <cell r="S566" t="str">
            <v>godz.15:40</v>
          </cell>
          <cell r="X566">
            <v>81</v>
          </cell>
          <cell r="Y566" t="str">
            <v>Open</v>
          </cell>
          <cell r="Z566" t="str">
            <v>S0020</v>
          </cell>
          <cell r="AA566" t="str">
            <v/>
          </cell>
          <cell r="AB566" t="str">
            <v>J0001</v>
          </cell>
          <cell r="AC566" t="str">
            <v/>
          </cell>
          <cell r="AD566" t="str">
            <v>S0020</v>
          </cell>
          <cell r="AE566" t="str">
            <v/>
          </cell>
          <cell r="AF566" t="str">
            <v>21:18,21:13</v>
          </cell>
          <cell r="AG566" t="str">
            <v>18:21,13:21</v>
          </cell>
          <cell r="AH566" t="str">
            <v/>
          </cell>
          <cell r="AI566">
            <v>21</v>
          </cell>
          <cell r="AJ566">
            <v>18</v>
          </cell>
          <cell r="AK566">
            <v>21</v>
          </cell>
          <cell r="AL566">
            <v>13</v>
          </cell>
          <cell r="AM566">
            <v>0</v>
          </cell>
          <cell r="AN566">
            <v>0</v>
          </cell>
        </row>
        <row r="567">
          <cell r="A567" t="str">
            <v/>
          </cell>
          <cell r="B567" t="str">
            <v>Mariusz SŁOMBA (Mielec)</v>
          </cell>
          <cell r="H567" t="str">
            <v>S0020</v>
          </cell>
          <cell r="K567" t="str">
            <v>J0001</v>
          </cell>
          <cell r="N567" t="str">
            <v>Mateusz JĘDRZEJKO (Rzeszów)</v>
          </cell>
        </row>
        <row r="568">
          <cell r="A568" t="str">
            <v/>
          </cell>
          <cell r="B568" t="str">
            <v/>
          </cell>
          <cell r="H568" t="str">
            <v/>
          </cell>
          <cell r="K568" t="str">
            <v/>
          </cell>
          <cell r="N568" t="str">
            <v/>
          </cell>
        </row>
        <row r="570">
          <cell r="B570" t="str">
            <v>zwycięzca(cy): 21:18,21:13</v>
          </cell>
          <cell r="K570" t="str">
            <v/>
          </cell>
        </row>
        <row r="571">
          <cell r="B571">
            <v>82</v>
          </cell>
          <cell r="C571" t="str">
            <v>dzień turnieju.</v>
          </cell>
          <cell r="I571" t="str">
            <v>Nr meczu</v>
          </cell>
          <cell r="N571" t="str">
            <v>Godz.</v>
          </cell>
          <cell r="R571" t="str">
            <v>S. prow.</v>
          </cell>
          <cell r="AF571" t="str">
            <v>wygrany</v>
          </cell>
          <cell r="AG571" t="str">
            <v>przegrany</v>
          </cell>
        </row>
        <row r="572">
          <cell r="B572" t="str">
            <v>Boisko</v>
          </cell>
          <cell r="C572" t="str">
            <v>Gra</v>
          </cell>
          <cell r="I572">
            <v>82</v>
          </cell>
          <cell r="N572" t="str">
            <v>rozp.</v>
          </cell>
          <cell r="P572" t="str">
            <v>zak.</v>
          </cell>
          <cell r="R572" t="str">
            <v>S. serw.</v>
          </cell>
        </row>
        <row r="573">
          <cell r="A573">
            <v>82</v>
          </cell>
          <cell r="C573" t="str">
            <v>Open</v>
          </cell>
          <cell r="H573">
            <v>21</v>
          </cell>
          <cell r="I573">
            <v>12</v>
          </cell>
          <cell r="J573">
            <v>21</v>
          </cell>
          <cell r="K573">
            <v>8</v>
          </cell>
          <cell r="R573">
            <v>0</v>
          </cell>
          <cell r="S573" t="str">
            <v>godz.15:40</v>
          </cell>
          <cell r="X573">
            <v>82</v>
          </cell>
          <cell r="Y573" t="str">
            <v>Open</v>
          </cell>
          <cell r="Z573" t="str">
            <v>B0009</v>
          </cell>
          <cell r="AA573" t="str">
            <v/>
          </cell>
          <cell r="AB573" t="str">
            <v>J0001</v>
          </cell>
          <cell r="AC573" t="str">
            <v/>
          </cell>
          <cell r="AD573" t="str">
            <v>B0009</v>
          </cell>
          <cell r="AE573" t="str">
            <v/>
          </cell>
          <cell r="AF573" t="str">
            <v>21:12,21:8</v>
          </cell>
          <cell r="AG573" t="str">
            <v>12:21,8:21</v>
          </cell>
          <cell r="AH573" t="str">
            <v/>
          </cell>
          <cell r="AI573">
            <v>21</v>
          </cell>
          <cell r="AJ573">
            <v>12</v>
          </cell>
          <cell r="AK573">
            <v>21</v>
          </cell>
          <cell r="AL573">
            <v>8</v>
          </cell>
          <cell r="AM573">
            <v>0</v>
          </cell>
          <cell r="AN573">
            <v>0</v>
          </cell>
        </row>
        <row r="574">
          <cell r="A574" t="str">
            <v/>
          </cell>
          <cell r="B574" t="str">
            <v>Adam BUNIO (Nowa Dęba)</v>
          </cell>
          <cell r="H574" t="str">
            <v>B0009</v>
          </cell>
          <cell r="K574" t="str">
            <v>J0001</v>
          </cell>
          <cell r="N574" t="str">
            <v>Mateusz JĘDRZEJKO (Rzeszów)</v>
          </cell>
        </row>
        <row r="575">
          <cell r="A575" t="str">
            <v/>
          </cell>
          <cell r="B575" t="str">
            <v/>
          </cell>
          <cell r="H575" t="str">
            <v/>
          </cell>
          <cell r="K575" t="str">
            <v/>
          </cell>
          <cell r="N575" t="str">
            <v/>
          </cell>
        </row>
        <row r="577">
          <cell r="B577" t="str">
            <v>zwycięzca(cy): 21:12,21:8</v>
          </cell>
          <cell r="K577" t="str">
            <v/>
          </cell>
        </row>
        <row r="578">
          <cell r="B578">
            <v>83</v>
          </cell>
          <cell r="C578" t="str">
            <v>dzień turnieju.</v>
          </cell>
          <cell r="I578" t="str">
            <v>Nr meczu</v>
          </cell>
          <cell r="N578" t="str">
            <v>Godz.</v>
          </cell>
          <cell r="R578" t="str">
            <v>S. prow.</v>
          </cell>
          <cell r="AF578" t="str">
            <v>wygrany</v>
          </cell>
          <cell r="AG578" t="str">
            <v>przegrany</v>
          </cell>
        </row>
        <row r="579">
          <cell r="B579" t="str">
            <v>Boisko</v>
          </cell>
          <cell r="C579" t="str">
            <v>Gra</v>
          </cell>
          <cell r="I579">
            <v>83</v>
          </cell>
          <cell r="N579" t="str">
            <v>rozp.</v>
          </cell>
          <cell r="P579" t="str">
            <v>zak.</v>
          </cell>
          <cell r="R579" t="str">
            <v>S. serw.</v>
          </cell>
        </row>
        <row r="580">
          <cell r="A580">
            <v>83</v>
          </cell>
          <cell r="C580" t="str">
            <v>Open</v>
          </cell>
          <cell r="H580">
            <v>21</v>
          </cell>
          <cell r="I580">
            <v>16</v>
          </cell>
          <cell r="J580">
            <v>21</v>
          </cell>
          <cell r="K580">
            <v>4</v>
          </cell>
          <cell r="R580">
            <v>0</v>
          </cell>
          <cell r="S580" t="str">
            <v>godz.15:40</v>
          </cell>
          <cell r="X580">
            <v>83</v>
          </cell>
          <cell r="Y580" t="str">
            <v>Open</v>
          </cell>
          <cell r="Z580" t="str">
            <v>I0002</v>
          </cell>
          <cell r="AA580" t="str">
            <v/>
          </cell>
          <cell r="AB580" t="str">
            <v>S0020</v>
          </cell>
          <cell r="AC580" t="str">
            <v/>
          </cell>
          <cell r="AD580" t="str">
            <v>I0002</v>
          </cell>
          <cell r="AE580" t="str">
            <v/>
          </cell>
          <cell r="AF580" t="str">
            <v>21:16,21:4</v>
          </cell>
          <cell r="AG580" t="str">
            <v>16:21,4:21</v>
          </cell>
          <cell r="AH580" t="str">
            <v/>
          </cell>
          <cell r="AI580">
            <v>21</v>
          </cell>
          <cell r="AJ580">
            <v>16</v>
          </cell>
          <cell r="AK580">
            <v>21</v>
          </cell>
          <cell r="AL580">
            <v>4</v>
          </cell>
          <cell r="AM580">
            <v>0</v>
          </cell>
          <cell r="AN580">
            <v>0</v>
          </cell>
        </row>
        <row r="581">
          <cell r="A581" t="str">
            <v/>
          </cell>
          <cell r="B581" t="str">
            <v>Igor IWAŃSKI (Mielec)</v>
          </cell>
          <cell r="H581" t="str">
            <v>I0002</v>
          </cell>
          <cell r="K581" t="str">
            <v>S0020</v>
          </cell>
          <cell r="N581" t="str">
            <v>Mariusz SŁOMBA (Mielec)</v>
          </cell>
        </row>
        <row r="582">
          <cell r="A582" t="str">
            <v/>
          </cell>
          <cell r="B582" t="str">
            <v/>
          </cell>
          <cell r="H582" t="str">
            <v/>
          </cell>
          <cell r="K582" t="str">
            <v/>
          </cell>
          <cell r="N582" t="str">
            <v/>
          </cell>
        </row>
        <row r="584">
          <cell r="B584" t="str">
            <v>zwycięzca(cy): 21:16,21:4</v>
          </cell>
          <cell r="K584" t="str">
            <v/>
          </cell>
        </row>
        <row r="585">
          <cell r="B585">
            <v>84</v>
          </cell>
          <cell r="C585" t="str">
            <v>dzień turnieju.</v>
          </cell>
          <cell r="I585" t="str">
            <v>Nr meczu</v>
          </cell>
          <cell r="N585" t="str">
            <v>Godz.</v>
          </cell>
          <cell r="R585" t="str">
            <v>S. prow.</v>
          </cell>
          <cell r="AF585" t="str">
            <v>wygrany</v>
          </cell>
          <cell r="AG585" t="str">
            <v>przegrany</v>
          </cell>
        </row>
        <row r="586">
          <cell r="B586" t="str">
            <v>Boisko</v>
          </cell>
          <cell r="C586" t="str">
            <v>Gra</v>
          </cell>
          <cell r="I586">
            <v>84</v>
          </cell>
          <cell r="N586" t="str">
            <v>rozp.</v>
          </cell>
          <cell r="P586" t="str">
            <v>zak.</v>
          </cell>
          <cell r="R586" t="str">
            <v>S. serw.</v>
          </cell>
        </row>
        <row r="587">
          <cell r="A587">
            <v>84</v>
          </cell>
          <cell r="C587" t="str">
            <v>Gra podwójna</v>
          </cell>
          <cell r="H587">
            <v>21</v>
          </cell>
          <cell r="I587">
            <v>19</v>
          </cell>
          <cell r="J587">
            <v>21</v>
          </cell>
          <cell r="K587">
            <v>10</v>
          </cell>
          <cell r="R587">
            <v>0</v>
          </cell>
          <cell r="S587" t="str">
            <v>godz.15:40</v>
          </cell>
          <cell r="X587">
            <v>84</v>
          </cell>
          <cell r="Y587" t="str">
            <v>Gra podwójna</v>
          </cell>
          <cell r="Z587" t="str">
            <v>R0017</v>
          </cell>
          <cell r="AA587" t="str">
            <v>W0012</v>
          </cell>
          <cell r="AB587" t="str">
            <v>S0035</v>
          </cell>
          <cell r="AC587" t="str">
            <v>W0013</v>
          </cell>
          <cell r="AD587" t="str">
            <v>R0017</v>
          </cell>
          <cell r="AE587" t="str">
            <v>W0012</v>
          </cell>
          <cell r="AF587" t="str">
            <v>21:19,21:10</v>
          </cell>
          <cell r="AG587" t="str">
            <v>19:21,10:21</v>
          </cell>
          <cell r="AH587" t="str">
            <v/>
          </cell>
          <cell r="AI587">
            <v>21</v>
          </cell>
          <cell r="AJ587">
            <v>19</v>
          </cell>
          <cell r="AK587">
            <v>21</v>
          </cell>
          <cell r="AL587">
            <v>10</v>
          </cell>
          <cell r="AM587">
            <v>0</v>
          </cell>
          <cell r="AN587">
            <v>0</v>
          </cell>
        </row>
        <row r="588">
          <cell r="A588" t="str">
            <v/>
          </cell>
          <cell r="B588" t="str">
            <v>Patryk RUSIN (Mielec)</v>
          </cell>
          <cell r="H588" t="str">
            <v>R0017</v>
          </cell>
          <cell r="K588" t="str">
            <v>S0035</v>
          </cell>
          <cell r="N588" t="str">
            <v>Kuba SITEK (Rzeszów)</v>
          </cell>
        </row>
        <row r="589">
          <cell r="A589" t="str">
            <v/>
          </cell>
          <cell r="B589" t="str">
            <v>Tomasz WYDRO (Mielec)</v>
          </cell>
          <cell r="H589" t="str">
            <v>W0012</v>
          </cell>
          <cell r="K589" t="str">
            <v>W0013</v>
          </cell>
          <cell r="N589" t="str">
            <v>Olaf WARNECKI (Rzeszów)</v>
          </cell>
        </row>
        <row r="591">
          <cell r="B591" t="str">
            <v>zwycięzca(cy): 21:19,21:10</v>
          </cell>
          <cell r="K591" t="str">
            <v/>
          </cell>
        </row>
        <row r="592">
          <cell r="B592">
            <v>85</v>
          </cell>
          <cell r="C592" t="str">
            <v>dzień turnieju.</v>
          </cell>
          <cell r="I592" t="str">
            <v>Nr meczu</v>
          </cell>
          <cell r="N592" t="str">
            <v>Godz.</v>
          </cell>
          <cell r="R592" t="str">
            <v>S. prow.</v>
          </cell>
          <cell r="AF592" t="str">
            <v>wygrany</v>
          </cell>
          <cell r="AG592" t="str">
            <v>przegrany</v>
          </cell>
        </row>
        <row r="593">
          <cell r="B593" t="str">
            <v>Boisko</v>
          </cell>
          <cell r="C593" t="str">
            <v>Gra</v>
          </cell>
          <cell r="I593">
            <v>85</v>
          </cell>
          <cell r="N593" t="str">
            <v>rozp.</v>
          </cell>
          <cell r="P593" t="str">
            <v>zak.</v>
          </cell>
          <cell r="R593" t="str">
            <v>S. serw.</v>
          </cell>
        </row>
        <row r="594">
          <cell r="A594">
            <v>85</v>
          </cell>
          <cell r="C594" t="str">
            <v>Gra podwójna</v>
          </cell>
          <cell r="H594">
            <v>21</v>
          </cell>
          <cell r="I594">
            <v>15</v>
          </cell>
          <cell r="J594">
            <v>21</v>
          </cell>
          <cell r="K594">
            <v>11</v>
          </cell>
          <cell r="R594">
            <v>0</v>
          </cell>
          <cell r="S594" t="str">
            <v>godz.16:00</v>
          </cell>
          <cell r="X594">
            <v>85</v>
          </cell>
          <cell r="Y594" t="str">
            <v>Gra podwójna</v>
          </cell>
          <cell r="Z594" t="str">
            <v>K0012</v>
          </cell>
          <cell r="AA594" t="str">
            <v>D0008</v>
          </cell>
          <cell r="AB594" t="str">
            <v>B0021</v>
          </cell>
          <cell r="AC594" t="str">
            <v>P0023</v>
          </cell>
          <cell r="AD594" t="str">
            <v>K0012</v>
          </cell>
          <cell r="AE594" t="str">
            <v>D0008</v>
          </cell>
          <cell r="AF594" t="str">
            <v>21:15,21:11</v>
          </cell>
          <cell r="AG594" t="str">
            <v>15:21,11:21</v>
          </cell>
          <cell r="AH594" t="str">
            <v/>
          </cell>
          <cell r="AI594">
            <v>21</v>
          </cell>
          <cell r="AJ594">
            <v>15</v>
          </cell>
          <cell r="AK594">
            <v>21</v>
          </cell>
          <cell r="AL594">
            <v>11</v>
          </cell>
          <cell r="AM594">
            <v>0</v>
          </cell>
          <cell r="AN594">
            <v>0</v>
          </cell>
        </row>
        <row r="595">
          <cell r="A595" t="str">
            <v/>
          </cell>
          <cell r="B595" t="str">
            <v>Piotr KOTERBA (Rzeszów)</v>
          </cell>
          <cell r="H595" t="str">
            <v>K0012</v>
          </cell>
          <cell r="K595" t="str">
            <v>B0021</v>
          </cell>
          <cell r="N595" t="str">
            <v>Krystian BUKOWIŃSKI (Dubiecko)</v>
          </cell>
        </row>
        <row r="596">
          <cell r="A596" t="str">
            <v/>
          </cell>
          <cell r="B596" t="str">
            <v>Patrycja DOMAŃSKA (Rzeszów)</v>
          </cell>
          <cell r="H596" t="str">
            <v>D0008</v>
          </cell>
          <cell r="K596" t="str">
            <v>P0023</v>
          </cell>
          <cell r="N596" t="str">
            <v>Robert PANTOŁA (Dubiecko)</v>
          </cell>
        </row>
        <row r="598">
          <cell r="B598" t="str">
            <v>zwycięzca(cy): 21:15,21:11</v>
          </cell>
          <cell r="K598" t="str">
            <v/>
          </cell>
        </row>
        <row r="599">
          <cell r="B599">
            <v>86</v>
          </cell>
          <cell r="C599" t="str">
            <v>dzień turnieju.</v>
          </cell>
          <cell r="I599" t="str">
            <v>Nr meczu</v>
          </cell>
          <cell r="N599" t="str">
            <v>Godz.</v>
          </cell>
          <cell r="R599" t="str">
            <v>S. prow.</v>
          </cell>
          <cell r="AF599" t="str">
            <v>wygrany</v>
          </cell>
          <cell r="AG599" t="str">
            <v>przegrany</v>
          </cell>
        </row>
        <row r="600">
          <cell r="B600" t="str">
            <v>Boisko</v>
          </cell>
          <cell r="C600" t="str">
            <v>Gra</v>
          </cell>
          <cell r="I600">
            <v>86</v>
          </cell>
          <cell r="N600" t="str">
            <v>rozp.</v>
          </cell>
          <cell r="P600" t="str">
            <v>zak.</v>
          </cell>
          <cell r="R600" t="str">
            <v>S. serw.</v>
          </cell>
        </row>
        <row r="601">
          <cell r="A601">
            <v>86</v>
          </cell>
          <cell r="C601" t="str">
            <v>Gra podwójna</v>
          </cell>
          <cell r="H601">
            <v>10</v>
          </cell>
          <cell r="I601">
            <v>21</v>
          </cell>
          <cell r="J601">
            <v>7</v>
          </cell>
          <cell r="K601">
            <v>21</v>
          </cell>
          <cell r="R601">
            <v>0</v>
          </cell>
          <cell r="S601" t="str">
            <v>godz.16:00</v>
          </cell>
          <cell r="X601">
            <v>86</v>
          </cell>
          <cell r="Y601" t="str">
            <v>Gra podwójna</v>
          </cell>
          <cell r="Z601" t="str">
            <v>G0014</v>
          </cell>
          <cell r="AA601" t="str">
            <v>G0015</v>
          </cell>
          <cell r="AB601" t="str">
            <v>B0009</v>
          </cell>
          <cell r="AC601" t="str">
            <v>I0002</v>
          </cell>
          <cell r="AD601" t="str">
            <v>B0009</v>
          </cell>
          <cell r="AE601" t="str">
            <v>I0002</v>
          </cell>
          <cell r="AF601" t="str">
            <v>21:10,21:7</v>
          </cell>
          <cell r="AG601" t="str">
            <v>10:21,7:21</v>
          </cell>
          <cell r="AH601" t="str">
            <v/>
          </cell>
          <cell r="AI601">
            <v>10</v>
          </cell>
          <cell r="AJ601">
            <v>21</v>
          </cell>
          <cell r="AK601">
            <v>7</v>
          </cell>
          <cell r="AL601">
            <v>21</v>
          </cell>
          <cell r="AM601">
            <v>0</v>
          </cell>
          <cell r="AN601">
            <v>0</v>
          </cell>
        </row>
        <row r="602">
          <cell r="A602" t="str">
            <v/>
          </cell>
          <cell r="B602" t="str">
            <v>Eryk GŁOWACKI (Tarnowiec)</v>
          </cell>
          <cell r="H602" t="str">
            <v>G0014</v>
          </cell>
          <cell r="K602" t="str">
            <v>B0009</v>
          </cell>
          <cell r="N602" t="str">
            <v>Adam BUNIO (Nowa Dęba)</v>
          </cell>
        </row>
        <row r="603">
          <cell r="A603" t="str">
            <v/>
          </cell>
          <cell r="B603" t="str">
            <v>Piotr GŁOWACKI (Tarnowiec)</v>
          </cell>
          <cell r="H603" t="str">
            <v>G0015</v>
          </cell>
          <cell r="K603" t="str">
            <v>I0002</v>
          </cell>
          <cell r="N603" t="str">
            <v>Igor IWAŃSKI (Mielec)</v>
          </cell>
        </row>
        <row r="605">
          <cell r="B605" t="str">
            <v/>
          </cell>
          <cell r="K605" t="str">
            <v>zwycięzca(cy): 21:10,21:7</v>
          </cell>
        </row>
        <row r="606">
          <cell r="B606">
            <v>87</v>
          </cell>
          <cell r="C606" t="str">
            <v>dzień turnieju.</v>
          </cell>
          <cell r="I606" t="str">
            <v>Nr meczu</v>
          </cell>
          <cell r="N606" t="str">
            <v>Godz.</v>
          </cell>
          <cell r="R606" t="str">
            <v>S. prow.</v>
          </cell>
          <cell r="AF606" t="str">
            <v>wygrany</v>
          </cell>
          <cell r="AG606" t="str">
            <v>przegrany</v>
          </cell>
        </row>
        <row r="607">
          <cell r="B607" t="str">
            <v>Boisko</v>
          </cell>
          <cell r="C607" t="str">
            <v>Gra</v>
          </cell>
          <cell r="I607">
            <v>87</v>
          </cell>
          <cell r="N607" t="str">
            <v>rozp.</v>
          </cell>
          <cell r="P607" t="str">
            <v>zak.</v>
          </cell>
          <cell r="R607" t="str">
            <v>S. serw.</v>
          </cell>
        </row>
        <row r="608">
          <cell r="A608">
            <v>87</v>
          </cell>
          <cell r="C608" t="str">
            <v>Gra podwójna</v>
          </cell>
          <cell r="H608">
            <v>12</v>
          </cell>
          <cell r="I608">
            <v>21</v>
          </cell>
          <cell r="J608">
            <v>5</v>
          </cell>
          <cell r="K608">
            <v>21</v>
          </cell>
          <cell r="R608">
            <v>0</v>
          </cell>
          <cell r="S608" t="str">
            <v>godz.16:00</v>
          </cell>
          <cell r="X608">
            <v>87</v>
          </cell>
          <cell r="Y608" t="str">
            <v>Gra podwójna</v>
          </cell>
          <cell r="Z608" t="str">
            <v>R0017</v>
          </cell>
          <cell r="AA608" t="str">
            <v>W0012</v>
          </cell>
          <cell r="AB608" t="str">
            <v>S0040</v>
          </cell>
          <cell r="AC608" t="str">
            <v>B0020</v>
          </cell>
          <cell r="AD608" t="str">
            <v>S0040</v>
          </cell>
          <cell r="AE608" t="str">
            <v>B0020</v>
          </cell>
          <cell r="AF608" t="str">
            <v>21:12,21:5</v>
          </cell>
          <cell r="AG608" t="str">
            <v>12:21,5:21</v>
          </cell>
          <cell r="AH608" t="str">
            <v/>
          </cell>
          <cell r="AI608">
            <v>12</v>
          </cell>
          <cell r="AJ608">
            <v>21</v>
          </cell>
          <cell r="AK608">
            <v>5</v>
          </cell>
          <cell r="AL608">
            <v>21</v>
          </cell>
          <cell r="AM608">
            <v>0</v>
          </cell>
          <cell r="AN608">
            <v>0</v>
          </cell>
        </row>
        <row r="609">
          <cell r="A609" t="str">
            <v/>
          </cell>
          <cell r="B609" t="str">
            <v>Patryk RUSIN (Mielec)</v>
          </cell>
          <cell r="H609" t="str">
            <v>R0017</v>
          </cell>
          <cell r="K609" t="str">
            <v>S0040</v>
          </cell>
          <cell r="N609" t="str">
            <v>Kamil SPŁAWIŃSKI (Dubiecko)</v>
          </cell>
        </row>
        <row r="610">
          <cell r="A610" t="str">
            <v/>
          </cell>
          <cell r="B610" t="str">
            <v>Tomasz WYDRO (Mielec)</v>
          </cell>
          <cell r="H610" t="str">
            <v>W0012</v>
          </cell>
          <cell r="K610" t="str">
            <v>B0020</v>
          </cell>
          <cell r="N610" t="str">
            <v>Klaudia BUKOWIŃSKA (Dubiecko)</v>
          </cell>
        </row>
        <row r="612">
          <cell r="B612" t="str">
            <v/>
          </cell>
          <cell r="K612" t="str">
            <v>zwycięzca(cy): 21:12,21:5</v>
          </cell>
        </row>
        <row r="613">
          <cell r="B613">
            <v>88</v>
          </cell>
          <cell r="C613" t="str">
            <v>dzień turnieju.</v>
          </cell>
          <cell r="I613" t="str">
            <v>Nr meczu</v>
          </cell>
          <cell r="N613" t="str">
            <v>Godz.</v>
          </cell>
          <cell r="R613" t="str">
            <v>S. prow.</v>
          </cell>
          <cell r="AF613" t="str">
            <v>wygrany</v>
          </cell>
          <cell r="AG613" t="str">
            <v>przegrany</v>
          </cell>
        </row>
        <row r="614">
          <cell r="B614" t="str">
            <v>Boisko</v>
          </cell>
          <cell r="C614" t="str">
            <v>Gra</v>
          </cell>
          <cell r="I614">
            <v>88</v>
          </cell>
          <cell r="N614" t="str">
            <v>rozp.</v>
          </cell>
          <cell r="P614" t="str">
            <v>zak.</v>
          </cell>
          <cell r="R614" t="str">
            <v>S. serw.</v>
          </cell>
        </row>
        <row r="615">
          <cell r="A615">
            <v>88</v>
          </cell>
          <cell r="C615" t="str">
            <v>Gra podwójna</v>
          </cell>
          <cell r="H615">
            <v>21</v>
          </cell>
          <cell r="I615">
            <v>16</v>
          </cell>
          <cell r="J615">
            <v>21</v>
          </cell>
          <cell r="K615">
            <v>14</v>
          </cell>
          <cell r="R615">
            <v>0</v>
          </cell>
          <cell r="S615" t="str">
            <v>godz.16:00</v>
          </cell>
          <cell r="X615">
            <v>88</v>
          </cell>
          <cell r="Y615" t="str">
            <v>Gra podwójna</v>
          </cell>
          <cell r="Z615" t="str">
            <v>J0001</v>
          </cell>
          <cell r="AA615" t="str">
            <v>P0021</v>
          </cell>
          <cell r="AB615" t="str">
            <v>M0026</v>
          </cell>
          <cell r="AC615" t="str">
            <v>R0015</v>
          </cell>
          <cell r="AD615" t="str">
            <v>J0001</v>
          </cell>
          <cell r="AE615" t="str">
            <v>P0021</v>
          </cell>
          <cell r="AF615" t="str">
            <v>21:16,21:14</v>
          </cell>
          <cell r="AG615" t="str">
            <v>16:21,14:21</v>
          </cell>
          <cell r="AH615" t="str">
            <v/>
          </cell>
          <cell r="AI615">
            <v>21</v>
          </cell>
          <cell r="AJ615">
            <v>16</v>
          </cell>
          <cell r="AK615">
            <v>21</v>
          </cell>
          <cell r="AL615">
            <v>14</v>
          </cell>
          <cell r="AM615">
            <v>0</v>
          </cell>
          <cell r="AN615">
            <v>0</v>
          </cell>
        </row>
        <row r="616">
          <cell r="A616" t="str">
            <v/>
          </cell>
          <cell r="B616" t="str">
            <v>Mateusz JĘDRZEJKO (Rzeszów)</v>
          </cell>
          <cell r="H616" t="str">
            <v>J0001</v>
          </cell>
          <cell r="K616" t="str">
            <v>M0026</v>
          </cell>
          <cell r="N616" t="str">
            <v>Wojciech MACHAJ (Mielec)</v>
          </cell>
        </row>
        <row r="617">
          <cell r="A617" t="str">
            <v/>
          </cell>
          <cell r="B617" t="str">
            <v>Mikołaj POLAŃSKI (Rzeszów)</v>
          </cell>
          <cell r="H617" t="str">
            <v>P0021</v>
          </cell>
          <cell r="K617" t="str">
            <v>R0015</v>
          </cell>
          <cell r="N617" t="str">
            <v>Oskar RADZAJ (Mielec)</v>
          </cell>
        </row>
        <row r="619">
          <cell r="B619" t="str">
            <v>zwycięzca(cy): 21:16,21:14</v>
          </cell>
          <cell r="K619" t="str">
            <v/>
          </cell>
        </row>
        <row r="620">
          <cell r="B620">
            <v>89</v>
          </cell>
          <cell r="C620" t="str">
            <v>dzień turnieju.</v>
          </cell>
          <cell r="I620" t="str">
            <v>Nr meczu</v>
          </cell>
          <cell r="N620" t="str">
            <v>Godz.</v>
          </cell>
          <cell r="R620" t="str">
            <v>S. prow.</v>
          </cell>
          <cell r="AF620" t="str">
            <v>wygrany</v>
          </cell>
          <cell r="AG620" t="str">
            <v>przegrany</v>
          </cell>
        </row>
        <row r="621">
          <cell r="B621" t="str">
            <v>Boisko</v>
          </cell>
          <cell r="C621" t="str">
            <v>Gra</v>
          </cell>
          <cell r="I621">
            <v>89</v>
          </cell>
          <cell r="N621" t="str">
            <v>rozp.</v>
          </cell>
          <cell r="P621" t="str">
            <v>zak.</v>
          </cell>
          <cell r="R621" t="str">
            <v>S. serw.</v>
          </cell>
        </row>
        <row r="622">
          <cell r="A622">
            <v>89</v>
          </cell>
          <cell r="C622" t="str">
            <v>Gra podwójna</v>
          </cell>
          <cell r="H622">
            <v>12</v>
          </cell>
          <cell r="I622">
            <v>21</v>
          </cell>
          <cell r="J622">
            <v>1</v>
          </cell>
          <cell r="K622">
            <v>21</v>
          </cell>
          <cell r="R622">
            <v>0</v>
          </cell>
          <cell r="S622" t="str">
            <v>godz.16:20</v>
          </cell>
          <cell r="X622">
            <v>89</v>
          </cell>
          <cell r="Y622" t="str">
            <v>Gra podwójna</v>
          </cell>
          <cell r="Z622" t="str">
            <v>K0012</v>
          </cell>
          <cell r="AA622" t="str">
            <v>D0008</v>
          </cell>
          <cell r="AB622" t="str">
            <v>B0009</v>
          </cell>
          <cell r="AC622" t="str">
            <v>I0002</v>
          </cell>
          <cell r="AD622" t="str">
            <v>B0009</v>
          </cell>
          <cell r="AE622" t="str">
            <v>I0002</v>
          </cell>
          <cell r="AF622" t="str">
            <v>21:12,21:1</v>
          </cell>
          <cell r="AG622" t="str">
            <v>12:21,1:21</v>
          </cell>
          <cell r="AH622" t="str">
            <v/>
          </cell>
          <cell r="AI622">
            <v>12</v>
          </cell>
          <cell r="AJ622">
            <v>21</v>
          </cell>
          <cell r="AK622">
            <v>1</v>
          </cell>
          <cell r="AL622">
            <v>21</v>
          </cell>
          <cell r="AM622">
            <v>0</v>
          </cell>
          <cell r="AN622">
            <v>0</v>
          </cell>
        </row>
        <row r="623">
          <cell r="A623" t="str">
            <v/>
          </cell>
          <cell r="B623" t="str">
            <v>Piotr KOTERBA (Rzeszów)</v>
          </cell>
          <cell r="H623" t="str">
            <v>K0012</v>
          </cell>
          <cell r="K623" t="str">
            <v>B0009</v>
          </cell>
          <cell r="N623" t="str">
            <v>Adam BUNIO (Nowa Dęba)</v>
          </cell>
        </row>
        <row r="624">
          <cell r="A624" t="str">
            <v/>
          </cell>
          <cell r="B624" t="str">
            <v>Patrycja DOMAŃSKA (Rzeszów)</v>
          </cell>
          <cell r="H624" t="str">
            <v>D0008</v>
          </cell>
          <cell r="K624" t="str">
            <v>I0002</v>
          </cell>
          <cell r="N624" t="str">
            <v>Igor IWAŃSKI (Mielec)</v>
          </cell>
        </row>
        <row r="626">
          <cell r="B626" t="str">
            <v/>
          </cell>
          <cell r="K626" t="str">
            <v>zwycięzca(cy): 21:12,21:1</v>
          </cell>
        </row>
        <row r="627">
          <cell r="B627">
            <v>90</v>
          </cell>
          <cell r="C627" t="str">
            <v>dzień turnieju.</v>
          </cell>
          <cell r="I627" t="str">
            <v>Nr meczu</v>
          </cell>
          <cell r="N627" t="str">
            <v>Godz.</v>
          </cell>
          <cell r="R627" t="str">
            <v>S. prow.</v>
          </cell>
          <cell r="AF627" t="str">
            <v>wygrany</v>
          </cell>
          <cell r="AG627" t="str">
            <v>przegrany</v>
          </cell>
        </row>
        <row r="628">
          <cell r="B628" t="str">
            <v>Boisko</v>
          </cell>
          <cell r="C628" t="str">
            <v>Gra</v>
          </cell>
          <cell r="I628">
            <v>90</v>
          </cell>
          <cell r="N628" t="str">
            <v>rozp.</v>
          </cell>
          <cell r="P628" t="str">
            <v>zak.</v>
          </cell>
          <cell r="R628" t="str">
            <v>S. serw.</v>
          </cell>
        </row>
        <row r="629">
          <cell r="A629">
            <v>90</v>
          </cell>
          <cell r="C629" t="str">
            <v>Gra podwójna</v>
          </cell>
          <cell r="H629">
            <v>21</v>
          </cell>
          <cell r="I629">
            <v>7</v>
          </cell>
          <cell r="J629">
            <v>21</v>
          </cell>
          <cell r="K629">
            <v>17</v>
          </cell>
          <cell r="R629">
            <v>0</v>
          </cell>
          <cell r="S629" t="str">
            <v>godz.16:20</v>
          </cell>
          <cell r="X629">
            <v>90</v>
          </cell>
          <cell r="Y629" t="str">
            <v>Gra podwójna</v>
          </cell>
          <cell r="Z629" t="str">
            <v>S0040</v>
          </cell>
          <cell r="AA629" t="str">
            <v>B0020</v>
          </cell>
          <cell r="AB629" t="str">
            <v>J0001</v>
          </cell>
          <cell r="AC629" t="str">
            <v>P0021</v>
          </cell>
          <cell r="AD629" t="str">
            <v>S0040</v>
          </cell>
          <cell r="AE629" t="str">
            <v>B0020</v>
          </cell>
          <cell r="AF629" t="str">
            <v>21:7,21:17</v>
          </cell>
          <cell r="AG629" t="str">
            <v>7:21,17:21</v>
          </cell>
          <cell r="AH629" t="str">
            <v/>
          </cell>
          <cell r="AI629">
            <v>21</v>
          </cell>
          <cell r="AJ629">
            <v>7</v>
          </cell>
          <cell r="AK629">
            <v>21</v>
          </cell>
          <cell r="AL629">
            <v>17</v>
          </cell>
          <cell r="AM629">
            <v>0</v>
          </cell>
          <cell r="AN629">
            <v>0</v>
          </cell>
        </row>
        <row r="630">
          <cell r="A630" t="str">
            <v/>
          </cell>
          <cell r="B630" t="str">
            <v>Kamil SPŁAWIŃSKI (Dubiecko)</v>
          </cell>
          <cell r="H630" t="str">
            <v>S0040</v>
          </cell>
          <cell r="K630" t="str">
            <v>J0001</v>
          </cell>
          <cell r="N630" t="str">
            <v>Mateusz JĘDRZEJKO (Rzeszów)</v>
          </cell>
        </row>
        <row r="631">
          <cell r="A631" t="str">
            <v/>
          </cell>
          <cell r="B631" t="str">
            <v>Klaudia BUKOWIŃSKA (Dubiecko)</v>
          </cell>
          <cell r="H631" t="str">
            <v>B0020</v>
          </cell>
          <cell r="K631" t="str">
            <v>P0021</v>
          </cell>
          <cell r="N631" t="str">
            <v>Mikołaj POLAŃSKI (Rzeszów)</v>
          </cell>
        </row>
        <row r="633">
          <cell r="B633" t="str">
            <v>zwycięzca(cy): 21:7,21:17</v>
          </cell>
          <cell r="K633" t="str">
            <v/>
          </cell>
        </row>
        <row r="634">
          <cell r="B634">
            <v>91</v>
          </cell>
          <cell r="C634" t="str">
            <v>dzień turnieju.</v>
          </cell>
          <cell r="I634" t="str">
            <v>Nr meczu</v>
          </cell>
          <cell r="N634" t="str">
            <v>Godz.</v>
          </cell>
          <cell r="R634" t="str">
            <v>S. prow.</v>
          </cell>
          <cell r="AF634" t="str">
            <v>wygrany</v>
          </cell>
          <cell r="AG634" t="str">
            <v>przegrany</v>
          </cell>
        </row>
        <row r="635">
          <cell r="B635" t="str">
            <v>Boisko</v>
          </cell>
          <cell r="C635" t="str">
            <v>Gra</v>
          </cell>
          <cell r="I635">
            <v>91</v>
          </cell>
          <cell r="N635" t="str">
            <v>rozp.</v>
          </cell>
          <cell r="P635" t="str">
            <v>zak.</v>
          </cell>
          <cell r="R635" t="str">
            <v>S. serw.</v>
          </cell>
        </row>
        <row r="636">
          <cell r="A636">
            <v>91</v>
          </cell>
          <cell r="C636" t="str">
            <v>Gra podwójna</v>
          </cell>
          <cell r="H636">
            <v>7</v>
          </cell>
          <cell r="I636">
            <v>21</v>
          </cell>
          <cell r="J636">
            <v>11</v>
          </cell>
          <cell r="K636">
            <v>21</v>
          </cell>
          <cell r="R636">
            <v>0</v>
          </cell>
          <cell r="S636" t="str">
            <v>godz.16:20</v>
          </cell>
          <cell r="X636">
            <v>91</v>
          </cell>
          <cell r="Y636" t="str">
            <v>Gra podwójna</v>
          </cell>
          <cell r="Z636" t="str">
            <v>G0017</v>
          </cell>
          <cell r="AA636" t="str">
            <v>W0014</v>
          </cell>
          <cell r="AB636" t="str">
            <v>B0009</v>
          </cell>
          <cell r="AC636" t="str">
            <v>I0002</v>
          </cell>
          <cell r="AD636" t="str">
            <v>B0009</v>
          </cell>
          <cell r="AE636" t="str">
            <v>I0002</v>
          </cell>
          <cell r="AF636" t="str">
            <v>21:7,21:11</v>
          </cell>
          <cell r="AG636" t="str">
            <v>7:21,11:21</v>
          </cell>
          <cell r="AH636" t="str">
            <v/>
          </cell>
          <cell r="AI636">
            <v>7</v>
          </cell>
          <cell r="AJ636">
            <v>21</v>
          </cell>
          <cell r="AK636">
            <v>11</v>
          </cell>
          <cell r="AL636">
            <v>21</v>
          </cell>
          <cell r="AM636">
            <v>0</v>
          </cell>
          <cell r="AN636">
            <v>0</v>
          </cell>
        </row>
        <row r="637">
          <cell r="A637" t="str">
            <v/>
          </cell>
          <cell r="B637" t="str">
            <v>Grzegorz GODZWON (Rzeszów)</v>
          </cell>
          <cell r="H637" t="str">
            <v>G0017</v>
          </cell>
          <cell r="K637" t="str">
            <v>B0009</v>
          </cell>
          <cell r="N637" t="str">
            <v>Adam BUNIO (Nowa Dęba)</v>
          </cell>
        </row>
        <row r="638">
          <cell r="A638" t="str">
            <v/>
          </cell>
          <cell r="B638" t="str">
            <v>Mariusz  WARNECKI (Rzeszów)</v>
          </cell>
          <cell r="H638" t="str">
            <v>W0014</v>
          </cell>
          <cell r="K638" t="str">
            <v>I0002</v>
          </cell>
          <cell r="N638" t="str">
            <v>Igor IWAŃSKI (Mielec)</v>
          </cell>
        </row>
        <row r="640">
          <cell r="B640" t="str">
            <v/>
          </cell>
          <cell r="K640" t="str">
            <v>zwycięzca(cy): 21:7,21:11</v>
          </cell>
        </row>
        <row r="641">
          <cell r="B641">
            <v>92</v>
          </cell>
          <cell r="C641" t="str">
            <v>dzień turnieju.</v>
          </cell>
          <cell r="I641" t="str">
            <v>Nr meczu</v>
          </cell>
          <cell r="N641" t="str">
            <v>Godz.</v>
          </cell>
          <cell r="R641" t="str">
            <v>S. prow.</v>
          </cell>
          <cell r="AF641" t="str">
            <v>wygrany</v>
          </cell>
          <cell r="AG641" t="str">
            <v>przegrany</v>
          </cell>
        </row>
        <row r="642">
          <cell r="B642" t="str">
            <v>Boisko</v>
          </cell>
          <cell r="C642" t="str">
            <v>Gra</v>
          </cell>
          <cell r="I642">
            <v>92</v>
          </cell>
          <cell r="N642" t="str">
            <v>rozp.</v>
          </cell>
          <cell r="P642" t="str">
            <v>zak.</v>
          </cell>
          <cell r="R642" t="str">
            <v>S. serw.</v>
          </cell>
        </row>
        <row r="643">
          <cell r="A643">
            <v>92</v>
          </cell>
          <cell r="C643" t="str">
            <v>Gra podwójna</v>
          </cell>
          <cell r="H643">
            <v>21</v>
          </cell>
          <cell r="I643">
            <v>3</v>
          </cell>
          <cell r="J643">
            <v>21</v>
          </cell>
          <cell r="K643">
            <v>10</v>
          </cell>
          <cell r="R643">
            <v>0</v>
          </cell>
          <cell r="S643" t="str">
            <v>godz.16:20</v>
          </cell>
          <cell r="X643">
            <v>92</v>
          </cell>
          <cell r="Y643" t="str">
            <v>Gra podwójna</v>
          </cell>
          <cell r="Z643" t="str">
            <v>K0012</v>
          </cell>
          <cell r="AA643" t="str">
            <v>D0008</v>
          </cell>
          <cell r="AB643" t="str">
            <v>J0001</v>
          </cell>
          <cell r="AC643" t="str">
            <v>P0021</v>
          </cell>
          <cell r="AD643" t="str">
            <v>K0012</v>
          </cell>
          <cell r="AE643" t="str">
            <v>D0008</v>
          </cell>
          <cell r="AF643" t="str">
            <v>21:3,21:10</v>
          </cell>
          <cell r="AG643" t="str">
            <v>3:21,10:21</v>
          </cell>
          <cell r="AH643" t="str">
            <v/>
          </cell>
          <cell r="AI643">
            <v>21</v>
          </cell>
          <cell r="AJ643">
            <v>3</v>
          </cell>
          <cell r="AK643">
            <v>21</v>
          </cell>
          <cell r="AL643">
            <v>10</v>
          </cell>
          <cell r="AM643">
            <v>0</v>
          </cell>
          <cell r="AN643">
            <v>0</v>
          </cell>
        </row>
        <row r="644">
          <cell r="A644" t="str">
            <v/>
          </cell>
          <cell r="B644" t="str">
            <v>Piotr KOTERBA (Rzeszów)</v>
          </cell>
          <cell r="H644" t="str">
            <v>K0012</v>
          </cell>
          <cell r="K644" t="str">
            <v>J0001</v>
          </cell>
          <cell r="N644" t="str">
            <v>Mateusz JĘDRZEJKO (Rzeszów)</v>
          </cell>
        </row>
        <row r="645">
          <cell r="A645" t="str">
            <v/>
          </cell>
          <cell r="B645" t="str">
            <v>Patrycja DOMAŃSKA (Rzeszów)</v>
          </cell>
          <cell r="H645" t="str">
            <v>D0008</v>
          </cell>
          <cell r="K645" t="str">
            <v>P0021</v>
          </cell>
          <cell r="N645" t="str">
            <v>Mikołaj POLAŃSKI (Rzeszów)</v>
          </cell>
        </row>
        <row r="647">
          <cell r="B647" t="str">
            <v>zwycięzca(cy): 21:3,21:10</v>
          </cell>
          <cell r="K647" t="str">
            <v/>
          </cell>
        </row>
        <row r="648">
          <cell r="B648">
            <v>93</v>
          </cell>
          <cell r="C648" t="str">
            <v>dzień turnieju.</v>
          </cell>
          <cell r="I648" t="str">
            <v>Nr meczu</v>
          </cell>
          <cell r="N648" t="str">
            <v>Godz.</v>
          </cell>
          <cell r="R648" t="str">
            <v>S. prow.</v>
          </cell>
          <cell r="AF648" t="str">
            <v>wygrany</v>
          </cell>
          <cell r="AG648" t="str">
            <v>przegrany</v>
          </cell>
        </row>
        <row r="649">
          <cell r="B649" t="str">
            <v>Boisko</v>
          </cell>
          <cell r="C649" t="str">
            <v>Gra</v>
          </cell>
          <cell r="I649">
            <v>93</v>
          </cell>
          <cell r="N649" t="str">
            <v>rozp.</v>
          </cell>
          <cell r="P649" t="str">
            <v>zak.</v>
          </cell>
          <cell r="R649" t="str">
            <v>S. serw.</v>
          </cell>
        </row>
        <row r="650">
          <cell r="A650">
            <v>93</v>
          </cell>
          <cell r="C650" t="str">
            <v>Gra podwójna</v>
          </cell>
          <cell r="H650">
            <v>21</v>
          </cell>
          <cell r="I650">
            <v>12</v>
          </cell>
          <cell r="J650">
            <v>21</v>
          </cell>
          <cell r="K650">
            <v>5</v>
          </cell>
          <cell r="R650">
            <v>0</v>
          </cell>
          <cell r="S650" t="str">
            <v>godz.16:40</v>
          </cell>
          <cell r="X650">
            <v>93</v>
          </cell>
          <cell r="Y650" t="str">
            <v>Gra podwójna</v>
          </cell>
          <cell r="Z650" t="str">
            <v>B0009</v>
          </cell>
          <cell r="AA650" t="str">
            <v>I0002</v>
          </cell>
          <cell r="AB650" t="str">
            <v>S0040</v>
          </cell>
          <cell r="AC650" t="str">
            <v>B0020</v>
          </cell>
          <cell r="AD650" t="str">
            <v>B0009</v>
          </cell>
          <cell r="AE650" t="str">
            <v>I0002</v>
          </cell>
          <cell r="AF650" t="str">
            <v>21:12,21:5</v>
          </cell>
          <cell r="AG650" t="str">
            <v>12:21,5:21</v>
          </cell>
          <cell r="AH650" t="str">
            <v/>
          </cell>
          <cell r="AI650">
            <v>21</v>
          </cell>
          <cell r="AJ650">
            <v>12</v>
          </cell>
          <cell r="AK650">
            <v>21</v>
          </cell>
          <cell r="AL650">
            <v>5</v>
          </cell>
          <cell r="AM650">
            <v>0</v>
          </cell>
          <cell r="AN650">
            <v>0</v>
          </cell>
        </row>
        <row r="651">
          <cell r="A651" t="str">
            <v/>
          </cell>
          <cell r="B651" t="str">
            <v>Adam BUNIO (Nowa Dęba)</v>
          </cell>
          <cell r="H651" t="str">
            <v>B0009</v>
          </cell>
          <cell r="K651" t="str">
            <v>S0040</v>
          </cell>
          <cell r="N651" t="str">
            <v>Kamil SPŁAWIŃSKI (Dubiecko)</v>
          </cell>
        </row>
        <row r="652">
          <cell r="A652" t="str">
            <v/>
          </cell>
          <cell r="B652" t="str">
            <v>Igor IWAŃSKI (Mielec)</v>
          </cell>
          <cell r="H652" t="str">
            <v>I0002</v>
          </cell>
          <cell r="K652" t="str">
            <v>B0020</v>
          </cell>
          <cell r="N652" t="str">
            <v>Klaudia BUKOWIŃSKA (Dubiecko)</v>
          </cell>
        </row>
        <row r="654">
          <cell r="B654" t="str">
            <v>zwycięzca(cy): 21:12,21:5</v>
          </cell>
          <cell r="K654" t="str">
            <v/>
          </cell>
        </row>
      </sheetData>
      <sheetData sheetId="3">
        <row r="8">
          <cell r="I8" t="str">
            <v>11Victorek</v>
          </cell>
          <cell r="J8" t="str">
            <v>M0026</v>
          </cell>
          <cell r="K8">
            <v>0</v>
          </cell>
        </row>
        <row r="10">
          <cell r="I10" t="str">
            <v>21Victorek</v>
          </cell>
          <cell r="J10" t="str">
            <v>P0021</v>
          </cell>
          <cell r="K10">
            <v>0</v>
          </cell>
        </row>
        <row r="12">
          <cell r="I12" t="str">
            <v>31Victorek</v>
          </cell>
          <cell r="J12" t="str">
            <v>S0038</v>
          </cell>
          <cell r="K12">
            <v>0</v>
          </cell>
        </row>
        <row r="19">
          <cell r="I19" t="str">
            <v>12Victorek</v>
          </cell>
          <cell r="J19" t="str">
            <v>W0013</v>
          </cell>
          <cell r="K19">
            <v>0</v>
          </cell>
        </row>
        <row r="21">
          <cell r="I21" t="str">
            <v>22Victorek</v>
          </cell>
          <cell r="J21" t="str">
            <v>R0017</v>
          </cell>
          <cell r="K21">
            <v>0</v>
          </cell>
        </row>
        <row r="23">
          <cell r="I23" t="str">
            <v>32Victorek</v>
          </cell>
          <cell r="J23" t="str">
            <v>Z0006</v>
          </cell>
          <cell r="K23">
            <v>0</v>
          </cell>
        </row>
        <row r="30">
          <cell r="I30" t="str">
            <v>13Victorek</v>
          </cell>
          <cell r="J30" t="str">
            <v>S0035</v>
          </cell>
          <cell r="K30">
            <v>0</v>
          </cell>
        </row>
        <row r="32">
          <cell r="I32" t="str">
            <v>23Victorek</v>
          </cell>
          <cell r="J32" t="str">
            <v>K0041</v>
          </cell>
          <cell r="K32">
            <v>0</v>
          </cell>
        </row>
        <row r="34">
          <cell r="I34" t="str">
            <v>33Victorek</v>
          </cell>
          <cell r="J34" t="str">
            <v>S0037</v>
          </cell>
          <cell r="K34">
            <v>0</v>
          </cell>
        </row>
        <row r="41">
          <cell r="I41" t="str">
            <v>14Victorek</v>
          </cell>
          <cell r="J41" t="str">
            <v>O0006</v>
          </cell>
          <cell r="K41">
            <v>0</v>
          </cell>
        </row>
        <row r="43">
          <cell r="I43" t="str">
            <v>24Victorek</v>
          </cell>
          <cell r="J43" t="str">
            <v>M0029</v>
          </cell>
          <cell r="K43">
            <v>0</v>
          </cell>
        </row>
        <row r="45">
          <cell r="I45" t="str">
            <v>34Victorek</v>
          </cell>
          <cell r="J45" t="str">
            <v>R0015</v>
          </cell>
          <cell r="K45">
            <v>0</v>
          </cell>
        </row>
        <row r="52">
          <cell r="I52" t="str">
            <v>15Victorek</v>
          </cell>
          <cell r="J52" t="str">
            <v>B0020</v>
          </cell>
          <cell r="K52">
            <v>0</v>
          </cell>
        </row>
        <row r="54">
          <cell r="I54" t="str">
            <v>25Victorek</v>
          </cell>
          <cell r="J54" t="str">
            <v>G0014</v>
          </cell>
          <cell r="K54">
            <v>0</v>
          </cell>
        </row>
        <row r="56">
          <cell r="I56" t="str">
            <v>35Victorek</v>
          </cell>
          <cell r="J56" t="str">
            <v>H0006</v>
          </cell>
          <cell r="K56">
            <v>0</v>
          </cell>
        </row>
        <row r="63">
          <cell r="I63" t="str">
            <v>16Victorek</v>
          </cell>
          <cell r="J63" t="str">
            <v>D0008</v>
          </cell>
          <cell r="K63">
            <v>0</v>
          </cell>
        </row>
        <row r="65">
          <cell r="I65" t="str">
            <v>26Victorek</v>
          </cell>
          <cell r="J65" t="str">
            <v>W0012</v>
          </cell>
          <cell r="K65">
            <v>0</v>
          </cell>
        </row>
        <row r="67">
          <cell r="I67" t="str">
            <v>36Victorek</v>
          </cell>
          <cell r="J67" t="str">
            <v>L0005</v>
          </cell>
          <cell r="K67">
            <v>0</v>
          </cell>
        </row>
        <row r="116">
          <cell r="I116" t="str">
            <v>11Runners Up</v>
          </cell>
          <cell r="J116" t="str">
            <v>N0002</v>
          </cell>
          <cell r="K116">
            <v>0</v>
          </cell>
        </row>
        <row r="118">
          <cell r="I118" t="str">
            <v>21Runners Up</v>
          </cell>
          <cell r="J118" t="str">
            <v>B0021</v>
          </cell>
          <cell r="K118">
            <v>0</v>
          </cell>
        </row>
        <row r="120">
          <cell r="I120" t="str">
            <v>31Runners Up</v>
          </cell>
          <cell r="J120" t="str">
            <v>G0015</v>
          </cell>
          <cell r="K120">
            <v>0</v>
          </cell>
        </row>
        <row r="122">
          <cell r="I122" t="str">
            <v>41Runners Up</v>
          </cell>
          <cell r="J122" t="str">
            <v>W0014</v>
          </cell>
          <cell r="K122">
            <v>0</v>
          </cell>
        </row>
        <row r="130">
          <cell r="I130" t="str">
            <v>12Runners Up</v>
          </cell>
          <cell r="J130" t="str">
            <v>S0020</v>
          </cell>
          <cell r="K130">
            <v>0</v>
          </cell>
        </row>
        <row r="132">
          <cell r="I132" t="str">
            <v>22Runners Up</v>
          </cell>
          <cell r="J132" t="str">
            <v>K0012</v>
          </cell>
          <cell r="K132">
            <v>0</v>
          </cell>
        </row>
        <row r="134">
          <cell r="I134" t="str">
            <v>32Runners Up</v>
          </cell>
          <cell r="J134" t="str">
            <v>O0004</v>
          </cell>
          <cell r="K134">
            <v>0</v>
          </cell>
        </row>
        <row r="141">
          <cell r="I141" t="str">
            <v>13Runners Up</v>
          </cell>
          <cell r="J141" t="str">
            <v>M0008</v>
          </cell>
          <cell r="K141">
            <v>0</v>
          </cell>
        </row>
        <row r="143">
          <cell r="I143" t="str">
            <v>23Runners Up</v>
          </cell>
          <cell r="J143" t="str">
            <v>S0040</v>
          </cell>
          <cell r="K143">
            <v>0</v>
          </cell>
        </row>
        <row r="145">
          <cell r="I145" t="str">
            <v>33Runners Up</v>
          </cell>
          <cell r="J145" t="str">
            <v>G0017</v>
          </cell>
          <cell r="K145">
            <v>0</v>
          </cell>
        </row>
        <row r="147">
          <cell r="I147" t="str">
            <v>43Runners Up</v>
          </cell>
          <cell r="J147" t="str">
            <v>K0038</v>
          </cell>
          <cell r="K147">
            <v>0</v>
          </cell>
        </row>
        <row r="200">
          <cell r="I200" t="str">
            <v>11Old Boys</v>
          </cell>
          <cell r="J200" t="str">
            <v>B0009</v>
          </cell>
          <cell r="K200">
            <v>0</v>
          </cell>
        </row>
        <row r="202">
          <cell r="I202" t="str">
            <v>21Old Boys</v>
          </cell>
          <cell r="J202" t="str">
            <v>O0004</v>
          </cell>
          <cell r="K202">
            <v>0</v>
          </cell>
        </row>
        <row r="204">
          <cell r="I204" t="str">
            <v>31Old Boys</v>
          </cell>
          <cell r="J204" t="str">
            <v>K0038</v>
          </cell>
          <cell r="K204">
            <v>0</v>
          </cell>
        </row>
        <row r="206">
          <cell r="I206" t="str">
            <v>41Old Boys</v>
          </cell>
          <cell r="J206" t="str">
            <v>O0001</v>
          </cell>
          <cell r="K206">
            <v>0</v>
          </cell>
        </row>
        <row r="214">
          <cell r="I214" t="str">
            <v>12Old Boys</v>
          </cell>
          <cell r="J214" t="str">
            <v>M0008</v>
          </cell>
          <cell r="K214">
            <v>0</v>
          </cell>
        </row>
        <row r="216">
          <cell r="I216" t="str">
            <v>22Old Boys</v>
          </cell>
          <cell r="J216" t="str">
            <v>K0003</v>
          </cell>
          <cell r="K216">
            <v>0</v>
          </cell>
        </row>
        <row r="218">
          <cell r="I218" t="str">
            <v>32Old Boys</v>
          </cell>
          <cell r="J218" t="str">
            <v>P0023</v>
          </cell>
          <cell r="K218">
            <v>0</v>
          </cell>
        </row>
      </sheetData>
      <sheetData sheetId="8">
        <row r="1">
          <cell r="A1" t="str">
            <v>PZBADNR</v>
          </cell>
          <cell r="B1" t="str">
            <v>IMIĘ</v>
          </cell>
          <cell r="C1" t="str">
            <v>NAZWISKO</v>
          </cell>
          <cell r="D1" t="str">
            <v>KLUB</v>
          </cell>
          <cell r="E1" t="str">
            <v>Dane zawodników z dnia 2011-02-09</v>
          </cell>
        </row>
        <row r="2">
          <cell r="A2" t="str">
            <v>B0001</v>
          </cell>
          <cell r="B2" t="str">
            <v>Maciej</v>
          </cell>
          <cell r="C2" t="str">
            <v>BARAN</v>
          </cell>
          <cell r="D2" t="str">
            <v>Rzeszów</v>
          </cell>
        </row>
        <row r="3">
          <cell r="A3" t="str">
            <v>B0002</v>
          </cell>
          <cell r="B3" t="str">
            <v>Kinga</v>
          </cell>
          <cell r="C3" t="str">
            <v>BAZAN</v>
          </cell>
          <cell r="D3" t="str">
            <v>Sokołów Młp.</v>
          </cell>
        </row>
        <row r="4">
          <cell r="A4" t="str">
            <v>B0003</v>
          </cell>
          <cell r="B4" t="str">
            <v>Tadeusz</v>
          </cell>
          <cell r="C4" t="str">
            <v>BAZAN</v>
          </cell>
          <cell r="D4" t="str">
            <v>Sokołów Młp.</v>
          </cell>
        </row>
        <row r="5">
          <cell r="A5" t="str">
            <v>B0004</v>
          </cell>
          <cell r="B5" t="str">
            <v>Mateusz</v>
          </cell>
          <cell r="C5" t="str">
            <v>BIELASZKA</v>
          </cell>
          <cell r="D5" t="str">
            <v>Szczucin</v>
          </cell>
        </row>
        <row r="6">
          <cell r="A6" t="str">
            <v>B0005</v>
          </cell>
          <cell r="B6" t="str">
            <v>Stanisław</v>
          </cell>
          <cell r="C6" t="str">
            <v>BIELSKI </v>
          </cell>
          <cell r="D6" t="str">
            <v>Nowa Dęba</v>
          </cell>
        </row>
        <row r="7">
          <cell r="A7" t="str">
            <v>B0006</v>
          </cell>
          <cell r="B7" t="str">
            <v>Adrian</v>
          </cell>
          <cell r="C7" t="str">
            <v>BOGDAN</v>
          </cell>
          <cell r="D7" t="str">
            <v>Nowa Dęba</v>
          </cell>
        </row>
        <row r="8">
          <cell r="A8" t="str">
            <v>B0007</v>
          </cell>
          <cell r="B8" t="str">
            <v>Jakub</v>
          </cell>
          <cell r="C8" t="str">
            <v>BOJARSKI</v>
          </cell>
          <cell r="D8" t="str">
            <v>Tarnobrzeg</v>
          </cell>
        </row>
        <row r="9">
          <cell r="A9" t="str">
            <v>B0008</v>
          </cell>
          <cell r="B9" t="str">
            <v>Wojciech</v>
          </cell>
          <cell r="C9" t="str">
            <v>BUCZYŃSKI</v>
          </cell>
          <cell r="D9" t="str">
            <v>Straszęcin</v>
          </cell>
        </row>
        <row r="10">
          <cell r="A10" t="str">
            <v>B0009</v>
          </cell>
          <cell r="B10" t="str">
            <v>Adam</v>
          </cell>
          <cell r="C10" t="str">
            <v>BUNIO</v>
          </cell>
          <cell r="D10" t="str">
            <v>Nowa Dęba</v>
          </cell>
        </row>
        <row r="11">
          <cell r="A11" t="str">
            <v>B0010</v>
          </cell>
          <cell r="B11" t="str">
            <v>Tomasz</v>
          </cell>
          <cell r="C11" t="str">
            <v>BIENIEK</v>
          </cell>
          <cell r="D11" t="str">
            <v>Mielec</v>
          </cell>
        </row>
        <row r="12">
          <cell r="A12" t="str">
            <v>B0011</v>
          </cell>
          <cell r="B12" t="str">
            <v>Aleksandra</v>
          </cell>
          <cell r="C12" t="str">
            <v>BIAŁEK</v>
          </cell>
          <cell r="D12" t="str">
            <v>Widełka</v>
          </cell>
        </row>
        <row r="13">
          <cell r="A13" t="str">
            <v>B0012</v>
          </cell>
          <cell r="B13" t="str">
            <v>Wiesław</v>
          </cell>
          <cell r="C13" t="str">
            <v>BĄK</v>
          </cell>
          <cell r="D13" t="str">
            <v>Jarosław</v>
          </cell>
        </row>
        <row r="14">
          <cell r="A14" t="str">
            <v>B0013</v>
          </cell>
          <cell r="B14" t="str">
            <v>Andrzej</v>
          </cell>
          <cell r="C14" t="str">
            <v>BURLIKOWSKI</v>
          </cell>
          <cell r="D14" t="str">
            <v>Jarosław</v>
          </cell>
        </row>
        <row r="15">
          <cell r="A15" t="str">
            <v>B0014</v>
          </cell>
          <cell r="B15" t="str">
            <v>Jozsef</v>
          </cell>
          <cell r="C15" t="str">
            <v>BOZSO</v>
          </cell>
          <cell r="D15" t="str">
            <v>Szolnok (Hungary)</v>
          </cell>
        </row>
        <row r="16">
          <cell r="A16" t="str">
            <v>B0015</v>
          </cell>
          <cell r="B16" t="str">
            <v>Tomasz</v>
          </cell>
          <cell r="C16" t="str">
            <v>BARAN</v>
          </cell>
          <cell r="D16" t="str">
            <v>Krosno</v>
          </cell>
        </row>
        <row r="17">
          <cell r="A17" t="str">
            <v>B0016</v>
          </cell>
          <cell r="B17" t="str">
            <v>Krzysztof</v>
          </cell>
          <cell r="C17" t="str">
            <v>BIELSKI</v>
          </cell>
          <cell r="D17" t="str">
            <v>Krosno</v>
          </cell>
        </row>
        <row r="18">
          <cell r="A18" t="str">
            <v>B0017</v>
          </cell>
          <cell r="B18" t="str">
            <v>Krzysztof</v>
          </cell>
          <cell r="C18" t="str">
            <v>BUTRYN</v>
          </cell>
          <cell r="D18" t="str">
            <v>Stalowa Wola</v>
          </cell>
        </row>
        <row r="19">
          <cell r="A19" t="str">
            <v>B0018</v>
          </cell>
          <cell r="B19" t="str">
            <v>Jacek</v>
          </cell>
          <cell r="C19" t="str">
            <v>BEDNARZ</v>
          </cell>
          <cell r="D19" t="str">
            <v>Stalowa Wola</v>
          </cell>
        </row>
        <row r="20">
          <cell r="A20" t="str">
            <v>B0019</v>
          </cell>
          <cell r="B20" t="str">
            <v>Maciej</v>
          </cell>
          <cell r="C20" t="str">
            <v>BZYMEK-POLAŃSKI</v>
          </cell>
          <cell r="D20" t="str">
            <v>Stalowa Wola</v>
          </cell>
        </row>
        <row r="21">
          <cell r="A21" t="str">
            <v>B0020</v>
          </cell>
          <cell r="B21" t="str">
            <v>Klaudia</v>
          </cell>
          <cell r="C21" t="str">
            <v>BUKOWIŃSKA</v>
          </cell>
          <cell r="D21" t="str">
            <v>Dubiecko</v>
          </cell>
        </row>
        <row r="22">
          <cell r="A22" t="str">
            <v>B0021</v>
          </cell>
          <cell r="B22" t="str">
            <v>Krystian</v>
          </cell>
          <cell r="C22" t="str">
            <v>BUKOWIŃSKI</v>
          </cell>
          <cell r="D22" t="str">
            <v>Dubiecko</v>
          </cell>
        </row>
        <row r="23">
          <cell r="A23" t="str">
            <v>C0001</v>
          </cell>
          <cell r="B23" t="str">
            <v>Mateusz</v>
          </cell>
          <cell r="C23" t="str">
            <v>CIURKOT</v>
          </cell>
          <cell r="D23" t="str">
            <v>Straszęcin</v>
          </cell>
        </row>
        <row r="24">
          <cell r="A24" t="str">
            <v>C0002</v>
          </cell>
          <cell r="B24" t="str">
            <v>Cezary</v>
          </cell>
          <cell r="C24" t="str">
            <v>CYNKIER</v>
          </cell>
          <cell r="D24" t="str">
            <v>Sokołów Młp.</v>
          </cell>
        </row>
        <row r="25">
          <cell r="A25" t="str">
            <v>C0003</v>
          </cell>
          <cell r="B25" t="str">
            <v>Jakub</v>
          </cell>
          <cell r="C25" t="str">
            <v>CZACHOR</v>
          </cell>
          <cell r="D25" t="str">
            <v>Mielec</v>
          </cell>
        </row>
        <row r="26">
          <cell r="A26" t="str">
            <v>C0004</v>
          </cell>
          <cell r="B26" t="str">
            <v>Mateusz</v>
          </cell>
          <cell r="C26" t="str">
            <v>CZUB</v>
          </cell>
          <cell r="D26" t="str">
            <v>Szczucin</v>
          </cell>
        </row>
        <row r="27">
          <cell r="A27" t="str">
            <v>C0005</v>
          </cell>
          <cell r="B27" t="str">
            <v>Bartosz</v>
          </cell>
          <cell r="C27" t="str">
            <v>CURZYTEK</v>
          </cell>
          <cell r="D27" t="str">
            <v>Ropczyce</v>
          </cell>
        </row>
        <row r="28">
          <cell r="A28" t="str">
            <v>C0006</v>
          </cell>
          <cell r="B28" t="str">
            <v>Mateusz</v>
          </cell>
          <cell r="C28" t="str">
            <v>CZACHOR</v>
          </cell>
          <cell r="D28" t="str">
            <v>Nowa Dęba</v>
          </cell>
        </row>
        <row r="29">
          <cell r="A29" t="str">
            <v>C0007</v>
          </cell>
          <cell r="B29" t="str">
            <v>Krystian </v>
          </cell>
          <cell r="C29" t="str">
            <v>CHRZĄŚCIK</v>
          </cell>
          <cell r="D29" t="str">
            <v>Gorlice</v>
          </cell>
        </row>
        <row r="30">
          <cell r="A30" t="str">
            <v>C0008</v>
          </cell>
          <cell r="B30" t="str">
            <v>Dariusz</v>
          </cell>
          <cell r="C30" t="str">
            <v>CZARNECKI</v>
          </cell>
          <cell r="D30" t="str">
            <v>Tarnobrzeg</v>
          </cell>
        </row>
        <row r="31">
          <cell r="A31" t="str">
            <v>D0001</v>
          </cell>
          <cell r="B31" t="str">
            <v>Mariusz</v>
          </cell>
          <cell r="C31" t="str">
            <v>DEREŃ</v>
          </cell>
          <cell r="D31" t="str">
            <v>Leżajsk</v>
          </cell>
        </row>
        <row r="32">
          <cell r="A32" t="str">
            <v>D0002</v>
          </cell>
          <cell r="B32" t="str">
            <v>Aleksandra</v>
          </cell>
          <cell r="C32" t="str">
            <v>DERNOGA </v>
          </cell>
          <cell r="D32" t="str">
            <v>Szczucin</v>
          </cell>
        </row>
        <row r="33">
          <cell r="A33" t="str">
            <v>D0003</v>
          </cell>
          <cell r="B33" t="str">
            <v>Łukasz</v>
          </cell>
          <cell r="C33" t="str">
            <v>DYCHA</v>
          </cell>
          <cell r="D33" t="str">
            <v>Nowa Dęba</v>
          </cell>
        </row>
        <row r="34">
          <cell r="A34" t="str">
            <v>D0004</v>
          </cell>
          <cell r="B34" t="str">
            <v>Rafał</v>
          </cell>
          <cell r="C34" t="str">
            <v>DYCHTOŃ</v>
          </cell>
          <cell r="D34" t="str">
            <v>Tarnów</v>
          </cell>
        </row>
        <row r="35">
          <cell r="A35" t="str">
            <v>D0005</v>
          </cell>
          <cell r="B35" t="str">
            <v>Radosław</v>
          </cell>
          <cell r="C35" t="str">
            <v>DZIURA</v>
          </cell>
          <cell r="D35" t="str">
            <v>Szczucin</v>
          </cell>
        </row>
        <row r="36">
          <cell r="A36" t="str">
            <v>D0006</v>
          </cell>
          <cell r="B36" t="str">
            <v>Krzysztof</v>
          </cell>
          <cell r="C36" t="str">
            <v>DUBIEL</v>
          </cell>
          <cell r="D36" t="str">
            <v>Strzyżów</v>
          </cell>
        </row>
        <row r="37">
          <cell r="A37" t="str">
            <v>D0007</v>
          </cell>
          <cell r="B37" t="str">
            <v>Karolina</v>
          </cell>
          <cell r="C37" t="str">
            <v>DZIEKAN</v>
          </cell>
          <cell r="D37" t="str">
            <v>Mielec</v>
          </cell>
        </row>
        <row r="38">
          <cell r="A38" t="str">
            <v>D0008</v>
          </cell>
          <cell r="B38" t="str">
            <v>Patrycja</v>
          </cell>
          <cell r="C38" t="str">
            <v>DOMAŃSKA</v>
          </cell>
          <cell r="D38" t="str">
            <v>Rzeszów</v>
          </cell>
        </row>
        <row r="39">
          <cell r="A39" t="str">
            <v>D0009</v>
          </cell>
          <cell r="B39" t="str">
            <v>Adrian</v>
          </cell>
          <cell r="C39" t="str">
            <v>DZIEKAN</v>
          </cell>
          <cell r="D39" t="str">
            <v>Mielec</v>
          </cell>
        </row>
        <row r="40">
          <cell r="A40" t="str">
            <v>F0001</v>
          </cell>
          <cell r="B40" t="str">
            <v>Mariusz</v>
          </cell>
          <cell r="C40" t="str">
            <v>FERFECKI</v>
          </cell>
          <cell r="D40" t="str">
            <v>Ropczyce</v>
          </cell>
        </row>
        <row r="41">
          <cell r="A41" t="str">
            <v>F0002</v>
          </cell>
          <cell r="B41" t="str">
            <v>Wojciech</v>
          </cell>
          <cell r="C41" t="str">
            <v>FILEMONOWICZ</v>
          </cell>
          <cell r="D41" t="str">
            <v>Tarnów</v>
          </cell>
        </row>
        <row r="42">
          <cell r="A42" t="str">
            <v>F0003</v>
          </cell>
          <cell r="B42" t="str">
            <v>Grzegorz</v>
          </cell>
          <cell r="C42" t="str">
            <v>FIJAŁKOWSKI</v>
          </cell>
          <cell r="D42" t="str">
            <v>Mielec</v>
          </cell>
        </row>
        <row r="43">
          <cell r="A43" t="str">
            <v>G0001</v>
          </cell>
          <cell r="B43" t="str">
            <v>Agnieszka</v>
          </cell>
          <cell r="C43" t="str">
            <v>GAWEŁ</v>
          </cell>
          <cell r="D43" t="str">
            <v>Widełka</v>
          </cell>
        </row>
        <row r="44">
          <cell r="A44" t="str">
            <v>G0002</v>
          </cell>
          <cell r="B44" t="str">
            <v>Jarosław</v>
          </cell>
          <cell r="C44" t="str">
            <v>GÓRSKI</v>
          </cell>
          <cell r="D44" t="str">
            <v>Gorlice</v>
          </cell>
        </row>
        <row r="45">
          <cell r="A45" t="str">
            <v>G0003</v>
          </cell>
          <cell r="B45" t="str">
            <v>Marcin</v>
          </cell>
          <cell r="C45" t="str">
            <v>GRUSZKOWSKI</v>
          </cell>
          <cell r="D45" t="str">
            <v>Gorlice</v>
          </cell>
        </row>
        <row r="46">
          <cell r="A46" t="str">
            <v>G0004</v>
          </cell>
          <cell r="B46" t="str">
            <v>Marcin</v>
          </cell>
          <cell r="C46" t="str">
            <v>GZYL</v>
          </cell>
          <cell r="D46" t="str">
            <v>Tarnów</v>
          </cell>
        </row>
        <row r="47">
          <cell r="A47" t="str">
            <v>G0005</v>
          </cell>
          <cell r="B47" t="str">
            <v>Bogdan</v>
          </cell>
          <cell r="C47" t="str">
            <v>GUNIA</v>
          </cell>
          <cell r="D47" t="str">
            <v>Nowa Dęba</v>
          </cell>
        </row>
        <row r="48">
          <cell r="A48" t="str">
            <v>G0006</v>
          </cell>
          <cell r="B48" t="str">
            <v>Cyprian</v>
          </cell>
          <cell r="C48" t="str">
            <v>GERWATOWSKI</v>
          </cell>
          <cell r="D48" t="str">
            <v>Kraków</v>
          </cell>
        </row>
        <row r="49">
          <cell r="A49" t="str">
            <v>G0007</v>
          </cell>
          <cell r="B49" t="str">
            <v>Wojciech</v>
          </cell>
          <cell r="C49" t="str">
            <v>GAWROŃSKI</v>
          </cell>
          <cell r="D49" t="str">
            <v>Kraków</v>
          </cell>
        </row>
        <row r="50">
          <cell r="A50" t="str">
            <v>G0008</v>
          </cell>
          <cell r="B50" t="str">
            <v>Marcin</v>
          </cell>
          <cell r="C50" t="str">
            <v>GRZEGORSKI</v>
          </cell>
          <cell r="D50" t="str">
            <v>Ropczyce</v>
          </cell>
        </row>
        <row r="51">
          <cell r="A51" t="str">
            <v>G0009</v>
          </cell>
          <cell r="B51" t="str">
            <v>Mateusz</v>
          </cell>
          <cell r="C51" t="str">
            <v>GOLATOWSKI</v>
          </cell>
          <cell r="D51" t="str">
            <v>Przemyśl</v>
          </cell>
        </row>
        <row r="52">
          <cell r="A52" t="str">
            <v>G0010</v>
          </cell>
          <cell r="B52" t="str">
            <v>Przemysław</v>
          </cell>
          <cell r="C52" t="str">
            <v>GRZESZKOWIAK</v>
          </cell>
          <cell r="D52" t="str">
            <v>Warszawa</v>
          </cell>
        </row>
        <row r="53">
          <cell r="A53" t="str">
            <v>G0011</v>
          </cell>
          <cell r="B53" t="str">
            <v>Jakub</v>
          </cell>
          <cell r="C53" t="str">
            <v>GERCZAK</v>
          </cell>
          <cell r="D53" t="str">
            <v>Sanok</v>
          </cell>
        </row>
        <row r="54">
          <cell r="A54" t="str">
            <v>G0012</v>
          </cell>
          <cell r="B54" t="str">
            <v>Joanna</v>
          </cell>
          <cell r="C54" t="str">
            <v>GRZESIAK</v>
          </cell>
          <cell r="D54" t="str">
            <v>Szczucin</v>
          </cell>
        </row>
        <row r="55">
          <cell r="A55" t="str">
            <v>G0013</v>
          </cell>
          <cell r="B55" t="str">
            <v>Bartosz</v>
          </cell>
          <cell r="C55" t="str">
            <v>GROCHOCKI</v>
          </cell>
          <cell r="D55" t="str">
            <v>Mielec</v>
          </cell>
        </row>
        <row r="56">
          <cell r="A56" t="str">
            <v>G0014</v>
          </cell>
          <cell r="B56" t="str">
            <v>Eryk</v>
          </cell>
          <cell r="C56" t="str">
            <v>GŁOWACKI</v>
          </cell>
          <cell r="D56" t="str">
            <v>Tarnowiec</v>
          </cell>
        </row>
        <row r="57">
          <cell r="A57" t="str">
            <v>G0015</v>
          </cell>
          <cell r="B57" t="str">
            <v>Piotr</v>
          </cell>
          <cell r="C57" t="str">
            <v>GŁOWACKI</v>
          </cell>
          <cell r="D57" t="str">
            <v>Tarnowiec</v>
          </cell>
        </row>
        <row r="58">
          <cell r="A58" t="str">
            <v>G0016</v>
          </cell>
          <cell r="B58" t="str">
            <v>Wiktoria</v>
          </cell>
          <cell r="C58" t="str">
            <v>GRĄDZKA</v>
          </cell>
          <cell r="D58" t="str">
            <v>Mielec</v>
          </cell>
        </row>
        <row r="59">
          <cell r="A59" t="str">
            <v>G0017</v>
          </cell>
          <cell r="B59" t="str">
            <v>Grzegorz</v>
          </cell>
          <cell r="C59" t="str">
            <v>GODZWON</v>
          </cell>
          <cell r="D59" t="str">
            <v>Rzeszów</v>
          </cell>
        </row>
        <row r="60">
          <cell r="A60" t="str">
            <v>H0001</v>
          </cell>
          <cell r="B60" t="str">
            <v>Krzysztof</v>
          </cell>
          <cell r="C60" t="str">
            <v>HAŁKA</v>
          </cell>
          <cell r="D60" t="str">
            <v>Nowa Dęba</v>
          </cell>
        </row>
        <row r="61">
          <cell r="A61" t="str">
            <v>H0002</v>
          </cell>
          <cell r="B61" t="str">
            <v>Maria</v>
          </cell>
          <cell r="C61" t="str">
            <v>HAŁKA</v>
          </cell>
          <cell r="D61" t="str">
            <v>Nowa Dęba</v>
          </cell>
        </row>
        <row r="62">
          <cell r="A62" t="str">
            <v>H0003</v>
          </cell>
          <cell r="B62" t="str">
            <v>Lidia</v>
          </cell>
          <cell r="C62" t="str">
            <v>HASSMAN</v>
          </cell>
          <cell r="D62" t="str">
            <v>Sokołów Młp.</v>
          </cell>
        </row>
        <row r="63">
          <cell r="A63" t="str">
            <v>H0004</v>
          </cell>
          <cell r="B63" t="str">
            <v>Monika</v>
          </cell>
          <cell r="C63" t="str">
            <v>HONKOWICZ</v>
          </cell>
          <cell r="D63" t="str">
            <v>Gorlice</v>
          </cell>
        </row>
        <row r="64">
          <cell r="A64" t="str">
            <v>H0005</v>
          </cell>
          <cell r="B64" t="str">
            <v>Filip</v>
          </cell>
          <cell r="C64" t="str">
            <v>HOŁOWICKI</v>
          </cell>
          <cell r="D64" t="str">
            <v>Mielec</v>
          </cell>
        </row>
        <row r="65">
          <cell r="A65" t="str">
            <v>H0006</v>
          </cell>
          <cell r="B65" t="str">
            <v>Natalia</v>
          </cell>
          <cell r="C65" t="str">
            <v>HAŁATA</v>
          </cell>
          <cell r="D65" t="str">
            <v>Mielec</v>
          </cell>
        </row>
        <row r="66">
          <cell r="A66" t="str">
            <v>I0001</v>
          </cell>
          <cell r="B66" t="str">
            <v>Michał</v>
          </cell>
          <cell r="C66" t="str">
            <v>IWANIEC</v>
          </cell>
          <cell r="D66" t="str">
            <v>Tarnów</v>
          </cell>
        </row>
        <row r="67">
          <cell r="A67" t="str">
            <v>I0002</v>
          </cell>
          <cell r="B67" t="str">
            <v>Igor</v>
          </cell>
          <cell r="C67" t="str">
            <v>IWAŃSKI</v>
          </cell>
          <cell r="D67" t="str">
            <v>Mielec</v>
          </cell>
        </row>
        <row r="68">
          <cell r="A68" t="str">
            <v>J0001</v>
          </cell>
          <cell r="B68" t="str">
            <v>Mateusz</v>
          </cell>
          <cell r="C68" t="str">
            <v>JĘDRZEJKO</v>
          </cell>
          <cell r="D68" t="str">
            <v>Rzeszów</v>
          </cell>
        </row>
        <row r="69">
          <cell r="A69" t="str">
            <v>J0002</v>
          </cell>
          <cell r="B69" t="str">
            <v>Bartosz</v>
          </cell>
          <cell r="C69" t="str">
            <v>JABŁOŃSKI</v>
          </cell>
          <cell r="D69" t="str">
            <v>Połaniec</v>
          </cell>
        </row>
        <row r="70">
          <cell r="A70" t="str">
            <v>J0003</v>
          </cell>
          <cell r="B70" t="str">
            <v>Paulina</v>
          </cell>
          <cell r="C70" t="str">
            <v>JANUS</v>
          </cell>
          <cell r="D70" t="str">
            <v>Mielec</v>
          </cell>
        </row>
        <row r="71">
          <cell r="A71" t="str">
            <v>J0004</v>
          </cell>
          <cell r="B71" t="str">
            <v>Patryk</v>
          </cell>
          <cell r="C71" t="str">
            <v>JUREK</v>
          </cell>
          <cell r="D71" t="str">
            <v>Stalowa Wola</v>
          </cell>
        </row>
        <row r="72">
          <cell r="A72" t="str">
            <v>J0005</v>
          </cell>
          <cell r="B72" t="str">
            <v>Tomasz</v>
          </cell>
          <cell r="C72" t="str">
            <v>JENDRYASSEK</v>
          </cell>
          <cell r="D72" t="str">
            <v>Rzeszów</v>
          </cell>
        </row>
        <row r="73">
          <cell r="A73" t="str">
            <v>K0001</v>
          </cell>
          <cell r="B73" t="str">
            <v>Marcin</v>
          </cell>
          <cell r="C73" t="str">
            <v>KALTENBERG</v>
          </cell>
          <cell r="D73" t="str">
            <v>Tarnobrzeg</v>
          </cell>
        </row>
        <row r="74">
          <cell r="A74" t="str">
            <v>K0002</v>
          </cell>
          <cell r="B74" t="str">
            <v>Mirosław</v>
          </cell>
          <cell r="C74" t="str">
            <v>KARKUT</v>
          </cell>
          <cell r="D74" t="str">
            <v>Widełka</v>
          </cell>
        </row>
        <row r="75">
          <cell r="A75" t="str">
            <v>K0003</v>
          </cell>
          <cell r="B75" t="str">
            <v>Robert</v>
          </cell>
          <cell r="C75" t="str">
            <v>KARNASIEWICZ</v>
          </cell>
          <cell r="D75" t="str">
            <v>Mielec</v>
          </cell>
        </row>
        <row r="76">
          <cell r="A76" t="str">
            <v>K0004</v>
          </cell>
          <cell r="B76" t="str">
            <v>Kinga</v>
          </cell>
          <cell r="C76" t="str">
            <v>KATRA</v>
          </cell>
          <cell r="D76" t="str">
            <v>Nowa Dęba</v>
          </cell>
        </row>
        <row r="77">
          <cell r="A77" t="str">
            <v>K0005</v>
          </cell>
          <cell r="B77" t="str">
            <v>Leszek</v>
          </cell>
          <cell r="C77" t="str">
            <v>KIWAK</v>
          </cell>
          <cell r="D77" t="str">
            <v>Kolbuszowa</v>
          </cell>
        </row>
        <row r="78">
          <cell r="A78" t="str">
            <v>K0006</v>
          </cell>
          <cell r="B78" t="str">
            <v>Klaudia</v>
          </cell>
          <cell r="C78" t="str">
            <v>KLIŚ</v>
          </cell>
          <cell r="D78" t="str">
            <v>Szczucin</v>
          </cell>
        </row>
        <row r="79">
          <cell r="A79" t="str">
            <v>K0007</v>
          </cell>
          <cell r="B79" t="str">
            <v>Jerzy</v>
          </cell>
          <cell r="C79" t="str">
            <v>KNOT</v>
          </cell>
          <cell r="D79" t="str">
            <v>Gorlice</v>
          </cell>
        </row>
        <row r="80">
          <cell r="A80" t="str">
            <v>K0008</v>
          </cell>
          <cell r="B80" t="str">
            <v>Maciej</v>
          </cell>
          <cell r="C80" t="str">
            <v>KNOT</v>
          </cell>
          <cell r="D80" t="str">
            <v>Gorlice</v>
          </cell>
        </row>
        <row r="81">
          <cell r="A81" t="str">
            <v>K0009</v>
          </cell>
          <cell r="B81" t="str">
            <v>Filip</v>
          </cell>
          <cell r="C81" t="str">
            <v>KOC</v>
          </cell>
          <cell r="D81" t="str">
            <v>Sokołów Młp.</v>
          </cell>
        </row>
        <row r="82">
          <cell r="A82" t="str">
            <v>K0010</v>
          </cell>
          <cell r="B82" t="str">
            <v>Łukasz</v>
          </cell>
          <cell r="C82" t="str">
            <v>KOŚCIÓŁEK</v>
          </cell>
          <cell r="D82" t="str">
            <v>Sokołów Młp.</v>
          </cell>
        </row>
        <row r="83">
          <cell r="A83" t="str">
            <v>K0011</v>
          </cell>
          <cell r="B83" t="str">
            <v>Bartłomiej</v>
          </cell>
          <cell r="C83" t="str">
            <v>KOŚMIDER</v>
          </cell>
          <cell r="D83" t="str">
            <v>Szczucin</v>
          </cell>
        </row>
        <row r="84">
          <cell r="A84" t="str">
            <v>K0012</v>
          </cell>
          <cell r="B84" t="str">
            <v>Piotr</v>
          </cell>
          <cell r="C84" t="str">
            <v>KOTERBA</v>
          </cell>
          <cell r="D84" t="str">
            <v>Rzeszów</v>
          </cell>
        </row>
        <row r="85">
          <cell r="A85" t="str">
            <v>K0013</v>
          </cell>
          <cell r="B85" t="str">
            <v>Paweł</v>
          </cell>
          <cell r="C85" t="str">
            <v>KSIĄŻEK</v>
          </cell>
          <cell r="D85" t="str">
            <v>Straszęcin</v>
          </cell>
        </row>
        <row r="86">
          <cell r="A86" t="str">
            <v>K0014</v>
          </cell>
          <cell r="B86" t="str">
            <v>Zdzisław</v>
          </cell>
          <cell r="C86" t="str">
            <v>KULA </v>
          </cell>
          <cell r="D86" t="str">
            <v>Tarnów</v>
          </cell>
        </row>
        <row r="87">
          <cell r="A87" t="str">
            <v>K0015</v>
          </cell>
          <cell r="B87" t="str">
            <v>Wojciech</v>
          </cell>
          <cell r="C87" t="str">
            <v>KURZYŃSKI</v>
          </cell>
          <cell r="D87" t="str">
            <v>Tarnobrzeg</v>
          </cell>
        </row>
        <row r="88">
          <cell r="A88" t="str">
            <v>K0016</v>
          </cell>
          <cell r="B88" t="str">
            <v>Bernadetta</v>
          </cell>
          <cell r="C88" t="str">
            <v>KUTACHA</v>
          </cell>
          <cell r="D88" t="str">
            <v>Widełka</v>
          </cell>
        </row>
        <row r="89">
          <cell r="A89" t="str">
            <v>K0017</v>
          </cell>
          <cell r="B89" t="str">
            <v>Mateusz</v>
          </cell>
          <cell r="C89" t="str">
            <v>KWIATKOWSKI</v>
          </cell>
          <cell r="D89" t="str">
            <v>Tarnobrzeg</v>
          </cell>
        </row>
        <row r="90">
          <cell r="A90" t="str">
            <v>K0018</v>
          </cell>
          <cell r="B90" t="str">
            <v>Paweł</v>
          </cell>
          <cell r="C90" t="str">
            <v>KOT </v>
          </cell>
          <cell r="D90" t="str">
            <v>Nowa Dęba</v>
          </cell>
        </row>
        <row r="91">
          <cell r="A91" t="str">
            <v>K0019</v>
          </cell>
          <cell r="B91" t="str">
            <v>Krystian</v>
          </cell>
          <cell r="C91" t="str">
            <v>KOŁODZIEJ</v>
          </cell>
          <cell r="D91" t="str">
            <v>Sokołów Młp.</v>
          </cell>
        </row>
        <row r="92">
          <cell r="A92" t="str">
            <v>K0020</v>
          </cell>
          <cell r="B92" t="str">
            <v>Konrad</v>
          </cell>
          <cell r="C92" t="str">
            <v>KONASZEWSKI</v>
          </cell>
          <cell r="D92" t="str">
            <v>Rzeszów</v>
          </cell>
        </row>
        <row r="93">
          <cell r="A93" t="str">
            <v>K0021</v>
          </cell>
          <cell r="B93" t="str">
            <v>Lucjan</v>
          </cell>
          <cell r="C93" t="str">
            <v>KONASZEWSKI</v>
          </cell>
          <cell r="D93" t="str">
            <v>Rzeszów</v>
          </cell>
        </row>
        <row r="94">
          <cell r="A94" t="str">
            <v>K0022</v>
          </cell>
          <cell r="B94" t="str">
            <v>Hubert</v>
          </cell>
          <cell r="C94" t="str">
            <v>KUKOWSKI</v>
          </cell>
          <cell r="D94" t="str">
            <v>Mielec</v>
          </cell>
        </row>
        <row r="95">
          <cell r="A95" t="str">
            <v>K0023</v>
          </cell>
          <cell r="B95" t="str">
            <v>Lucjan</v>
          </cell>
          <cell r="C95" t="str">
            <v>KAWAŁEK</v>
          </cell>
          <cell r="D95" t="str">
            <v>Gorlice</v>
          </cell>
        </row>
        <row r="96">
          <cell r="A96" t="str">
            <v>K0024</v>
          </cell>
          <cell r="B96" t="str">
            <v>Wojciech</v>
          </cell>
          <cell r="C96" t="str">
            <v>KRAUS</v>
          </cell>
          <cell r="D96" t="str">
            <v>Gorlice</v>
          </cell>
        </row>
        <row r="97">
          <cell r="A97" t="str">
            <v>K0025</v>
          </cell>
          <cell r="B97" t="str">
            <v>Marek</v>
          </cell>
          <cell r="C97" t="str">
            <v>KOTOWICZ</v>
          </cell>
          <cell r="D97" t="str">
            <v>Gorlice</v>
          </cell>
        </row>
        <row r="98">
          <cell r="A98" t="str">
            <v>K0026</v>
          </cell>
          <cell r="B98" t="str">
            <v>Kamil</v>
          </cell>
          <cell r="C98" t="str">
            <v>KRUKOWSKI</v>
          </cell>
          <cell r="D98" t="str">
            <v>Nowa Dęba</v>
          </cell>
        </row>
        <row r="99">
          <cell r="A99" t="str">
            <v>K0027</v>
          </cell>
          <cell r="B99" t="str">
            <v>Miłosz</v>
          </cell>
          <cell r="C99" t="str">
            <v>KUKUŁA</v>
          </cell>
          <cell r="D99" t="str">
            <v>Gorlice</v>
          </cell>
        </row>
        <row r="100">
          <cell r="A100" t="str">
            <v>K0028</v>
          </cell>
          <cell r="B100" t="str">
            <v>Katarzyna</v>
          </cell>
          <cell r="C100" t="str">
            <v>KUTACHA</v>
          </cell>
          <cell r="D100" t="str">
            <v>Widełka</v>
          </cell>
        </row>
        <row r="101">
          <cell r="A101" t="str">
            <v>K0029</v>
          </cell>
          <cell r="B101" t="str">
            <v>Patryk</v>
          </cell>
          <cell r="C101" t="str">
            <v>KOPEĆ</v>
          </cell>
          <cell r="D101" t="str">
            <v>Nowa Dęba</v>
          </cell>
        </row>
        <row r="102">
          <cell r="A102" t="str">
            <v>K0030</v>
          </cell>
          <cell r="B102" t="str">
            <v>Paweł</v>
          </cell>
          <cell r="C102" t="str">
            <v>KOPAŃSKI</v>
          </cell>
          <cell r="D102" t="str">
            <v>Widełka</v>
          </cell>
        </row>
        <row r="103">
          <cell r="A103" t="str">
            <v>K0031</v>
          </cell>
          <cell r="B103" t="str">
            <v>Wiktoria</v>
          </cell>
          <cell r="C103" t="str">
            <v>KAPINOS</v>
          </cell>
          <cell r="D103" t="str">
            <v>Mielec</v>
          </cell>
        </row>
        <row r="104">
          <cell r="A104" t="str">
            <v>K0032</v>
          </cell>
          <cell r="B104" t="str">
            <v>Paweł</v>
          </cell>
          <cell r="C104" t="str">
            <v>KACZOR</v>
          </cell>
          <cell r="D104" t="str">
            <v>Nowa Dęba</v>
          </cell>
        </row>
        <row r="105">
          <cell r="A105" t="str">
            <v>K0033</v>
          </cell>
          <cell r="B105" t="str">
            <v>Marek</v>
          </cell>
          <cell r="C105" t="str">
            <v>KAMIŃSKI</v>
          </cell>
          <cell r="D105" t="str">
            <v>Nowa Dęba</v>
          </cell>
        </row>
        <row r="106">
          <cell r="A106" t="str">
            <v>K0034</v>
          </cell>
          <cell r="B106" t="str">
            <v>Marcin</v>
          </cell>
          <cell r="C106" t="str">
            <v>KOWALIK</v>
          </cell>
          <cell r="D106" t="str">
            <v>Rzeszów</v>
          </cell>
        </row>
        <row r="107">
          <cell r="A107" t="str">
            <v>K0035</v>
          </cell>
          <cell r="B107" t="str">
            <v>Maciej</v>
          </cell>
          <cell r="C107" t="str">
            <v>KOZIEŁ</v>
          </cell>
          <cell r="D107" t="str">
            <v>Myślenice</v>
          </cell>
        </row>
        <row r="108">
          <cell r="A108" t="str">
            <v>K0036</v>
          </cell>
          <cell r="B108" t="str">
            <v>Tomasz </v>
          </cell>
          <cell r="C108" t="str">
            <v>KNOPEK</v>
          </cell>
          <cell r="D108" t="str">
            <v>Kraków</v>
          </cell>
        </row>
        <row r="109">
          <cell r="A109" t="str">
            <v>K0037</v>
          </cell>
          <cell r="B109" t="str">
            <v>Mateusz</v>
          </cell>
          <cell r="C109" t="str">
            <v>KRUPA</v>
          </cell>
          <cell r="D109" t="str">
            <v>Mielec</v>
          </cell>
        </row>
        <row r="110">
          <cell r="A110" t="str">
            <v>K0038</v>
          </cell>
          <cell r="B110" t="str">
            <v>Wojciech</v>
          </cell>
          <cell r="C110" t="str">
            <v>KWOLEK</v>
          </cell>
          <cell r="D110" t="str">
            <v>Mielec</v>
          </cell>
        </row>
        <row r="111">
          <cell r="A111" t="str">
            <v>K0039</v>
          </cell>
          <cell r="B111" t="str">
            <v>Łukasz</v>
          </cell>
          <cell r="C111" t="str">
            <v>KOTWICA</v>
          </cell>
          <cell r="D111" t="str">
            <v>Stalowa Wola</v>
          </cell>
        </row>
        <row r="112">
          <cell r="A112" t="str">
            <v>K0040</v>
          </cell>
          <cell r="B112" t="str">
            <v>Władysław</v>
          </cell>
          <cell r="C112" t="str">
            <v>KRUK</v>
          </cell>
          <cell r="D112" t="str">
            <v>Ropczyce</v>
          </cell>
        </row>
        <row r="113">
          <cell r="A113" t="str">
            <v>K0041</v>
          </cell>
          <cell r="B113" t="str">
            <v>Kamila</v>
          </cell>
          <cell r="C113" t="str">
            <v>KOWAL</v>
          </cell>
          <cell r="D113" t="str">
            <v>Żupawa</v>
          </cell>
        </row>
        <row r="114">
          <cell r="A114" t="str">
            <v>L0001</v>
          </cell>
          <cell r="B114" t="str">
            <v>Marek</v>
          </cell>
          <cell r="C114" t="str">
            <v>LEŚ</v>
          </cell>
          <cell r="D114" t="str">
            <v>Mielec</v>
          </cell>
        </row>
        <row r="115">
          <cell r="A115" t="str">
            <v>L0002</v>
          </cell>
          <cell r="B115" t="str">
            <v>Tomasz</v>
          </cell>
          <cell r="C115" t="str">
            <v>LEGENY</v>
          </cell>
          <cell r="D115" t="str">
            <v>Jarosław</v>
          </cell>
        </row>
        <row r="116">
          <cell r="A116" t="str">
            <v>L0003</v>
          </cell>
          <cell r="B116" t="str">
            <v>Marcin</v>
          </cell>
          <cell r="C116" t="str">
            <v>LISZKA</v>
          </cell>
          <cell r="D116" t="str">
            <v>Gorlice</v>
          </cell>
        </row>
        <row r="117">
          <cell r="A117" t="str">
            <v>L0004</v>
          </cell>
          <cell r="B117" t="str">
            <v>Rafał</v>
          </cell>
          <cell r="C117" t="str">
            <v>LEJKO</v>
          </cell>
          <cell r="D117" t="str">
            <v>Nowa Dęba</v>
          </cell>
        </row>
        <row r="118">
          <cell r="A118" t="str">
            <v>L0005</v>
          </cell>
          <cell r="B118" t="str">
            <v>Izabela</v>
          </cell>
          <cell r="C118" t="str">
            <v>LASOTA</v>
          </cell>
          <cell r="D118" t="str">
            <v>Żupawa</v>
          </cell>
        </row>
        <row r="119">
          <cell r="A119" t="str">
            <v>Ł0001</v>
          </cell>
          <cell r="B119" t="str">
            <v>Łukasz</v>
          </cell>
          <cell r="C119" t="str">
            <v>ŁABUZ</v>
          </cell>
          <cell r="D119" t="str">
            <v>Szczucin</v>
          </cell>
        </row>
        <row r="120">
          <cell r="A120" t="str">
            <v>Ł0002</v>
          </cell>
          <cell r="B120" t="str">
            <v>Wojciech</v>
          </cell>
          <cell r="C120" t="str">
            <v>ŁABUZ</v>
          </cell>
          <cell r="D120" t="str">
            <v>Szczucin</v>
          </cell>
        </row>
        <row r="121">
          <cell r="A121" t="str">
            <v>Ł0003</v>
          </cell>
          <cell r="B121" t="str">
            <v>Piotr</v>
          </cell>
          <cell r="C121" t="str">
            <v>ŁUKASIK</v>
          </cell>
          <cell r="D121" t="str">
            <v>Gorlice</v>
          </cell>
        </row>
        <row r="122">
          <cell r="A122" t="str">
            <v>M0001</v>
          </cell>
          <cell r="B122" t="str">
            <v>Paulina</v>
          </cell>
          <cell r="C122" t="str">
            <v>MACIEJEWSKA</v>
          </cell>
          <cell r="D122" t="str">
            <v>Tarnów</v>
          </cell>
        </row>
        <row r="123">
          <cell r="A123" t="str">
            <v>M0002</v>
          </cell>
          <cell r="B123" t="str">
            <v>Michał</v>
          </cell>
          <cell r="C123" t="str">
            <v>MAGDZIAK</v>
          </cell>
          <cell r="D123" t="str">
            <v>Szczucin</v>
          </cell>
        </row>
        <row r="124">
          <cell r="A124" t="str">
            <v>M0003</v>
          </cell>
          <cell r="B124" t="str">
            <v>Patrycja</v>
          </cell>
          <cell r="C124" t="str">
            <v>MAKOCKA</v>
          </cell>
          <cell r="D124" t="str">
            <v>Mielec</v>
          </cell>
        </row>
        <row r="125">
          <cell r="A125" t="str">
            <v>M0004</v>
          </cell>
          <cell r="B125" t="str">
            <v>Antoni</v>
          </cell>
          <cell r="C125" t="str">
            <v>MALCHAREK</v>
          </cell>
          <cell r="D125" t="str">
            <v>Nowa Dęba</v>
          </cell>
        </row>
        <row r="126">
          <cell r="A126" t="str">
            <v>M0005</v>
          </cell>
          <cell r="B126" t="str">
            <v>Piotr</v>
          </cell>
          <cell r="C126" t="str">
            <v>MALIK</v>
          </cell>
          <cell r="D126" t="str">
            <v>Tarnobrzeg</v>
          </cell>
        </row>
        <row r="127">
          <cell r="A127" t="str">
            <v>M0006</v>
          </cell>
          <cell r="B127" t="str">
            <v>Szymon</v>
          </cell>
          <cell r="C127" t="str">
            <v>MALIK</v>
          </cell>
          <cell r="D127" t="str">
            <v>Tarnobrzeg</v>
          </cell>
        </row>
        <row r="128">
          <cell r="A128" t="str">
            <v>M0007</v>
          </cell>
          <cell r="B128" t="str">
            <v>Maciej</v>
          </cell>
          <cell r="C128" t="str">
            <v>MATUSIK</v>
          </cell>
          <cell r="D128" t="str">
            <v>Ropczyce</v>
          </cell>
        </row>
        <row r="129">
          <cell r="A129" t="str">
            <v>M0008</v>
          </cell>
          <cell r="B129" t="str">
            <v>Tadeusz</v>
          </cell>
          <cell r="C129" t="str">
            <v>MICHALIK</v>
          </cell>
          <cell r="D129" t="str">
            <v>Tarnów</v>
          </cell>
        </row>
        <row r="130">
          <cell r="A130" t="str">
            <v>M0009</v>
          </cell>
          <cell r="B130" t="str">
            <v>Robert</v>
          </cell>
          <cell r="C130" t="str">
            <v>MIKA</v>
          </cell>
          <cell r="D130" t="str">
            <v>Gorlice</v>
          </cell>
        </row>
        <row r="131">
          <cell r="A131" t="str">
            <v>M0010</v>
          </cell>
          <cell r="B131" t="str">
            <v>Jarosław</v>
          </cell>
          <cell r="C131" t="str">
            <v>MIOTŁA</v>
          </cell>
          <cell r="D131" t="str">
            <v>Mielec</v>
          </cell>
        </row>
        <row r="132">
          <cell r="A132" t="str">
            <v>M0011</v>
          </cell>
          <cell r="B132" t="str">
            <v>Karol</v>
          </cell>
          <cell r="C132" t="str">
            <v>MĄCZYŃSKI</v>
          </cell>
          <cell r="D132" t="str">
            <v>Mielec</v>
          </cell>
        </row>
        <row r="133">
          <cell r="A133" t="str">
            <v>M0012</v>
          </cell>
          <cell r="B133" t="str">
            <v>Jarosław</v>
          </cell>
          <cell r="C133" t="str">
            <v>MAZUR</v>
          </cell>
          <cell r="D133" t="str">
            <v>Mielec</v>
          </cell>
        </row>
        <row r="134">
          <cell r="A134" t="str">
            <v>M0013</v>
          </cell>
          <cell r="B134" t="str">
            <v>Mariusz</v>
          </cell>
          <cell r="C134" t="str">
            <v>MASZTAFIAK</v>
          </cell>
          <cell r="D134" t="str">
            <v>Gorlice</v>
          </cell>
        </row>
        <row r="135">
          <cell r="A135" t="str">
            <v>M0014</v>
          </cell>
          <cell r="B135" t="str">
            <v>Dariusz</v>
          </cell>
          <cell r="C135" t="str">
            <v>MAZUR</v>
          </cell>
          <cell r="D135" t="str">
            <v>Mielec</v>
          </cell>
        </row>
        <row r="136">
          <cell r="A136" t="str">
            <v>M0015</v>
          </cell>
          <cell r="B136" t="str">
            <v>Michał</v>
          </cell>
          <cell r="C136" t="str">
            <v>MROZEK</v>
          </cell>
          <cell r="D136" t="str">
            <v>Gorlice</v>
          </cell>
        </row>
        <row r="137">
          <cell r="A137" t="str">
            <v>M0016</v>
          </cell>
          <cell r="B137" t="str">
            <v>Rafał</v>
          </cell>
          <cell r="C137" t="str">
            <v>MARKOWICZ</v>
          </cell>
          <cell r="D137" t="str">
            <v>Gorlice</v>
          </cell>
        </row>
        <row r="138">
          <cell r="A138" t="str">
            <v>M0017</v>
          </cell>
          <cell r="B138" t="str">
            <v>Małgorzata</v>
          </cell>
          <cell r="C138" t="str">
            <v>MROZEK</v>
          </cell>
          <cell r="D138" t="str">
            <v>Gorlice</v>
          </cell>
        </row>
        <row r="139">
          <cell r="A139" t="str">
            <v>M0018</v>
          </cell>
          <cell r="B139" t="str">
            <v>Karolina</v>
          </cell>
          <cell r="C139" t="str">
            <v>MORDAWSKA</v>
          </cell>
          <cell r="D139" t="str">
            <v>Gorlice</v>
          </cell>
        </row>
        <row r="140">
          <cell r="A140" t="str">
            <v>M0019</v>
          </cell>
          <cell r="B140" t="str">
            <v>Grzegorz</v>
          </cell>
          <cell r="C140" t="str">
            <v>MAC </v>
          </cell>
          <cell r="D140" t="str">
            <v>Rzeszów</v>
          </cell>
        </row>
        <row r="141">
          <cell r="A141" t="str">
            <v>M0020</v>
          </cell>
          <cell r="B141" t="str">
            <v>Tomasz</v>
          </cell>
          <cell r="C141" t="str">
            <v>MALCHAREK</v>
          </cell>
          <cell r="D141" t="str">
            <v>New Jersey</v>
          </cell>
        </row>
        <row r="142">
          <cell r="A142" t="str">
            <v>M0021</v>
          </cell>
          <cell r="B142" t="str">
            <v>Jerzy</v>
          </cell>
          <cell r="C142" t="str">
            <v>MISIAK</v>
          </cell>
          <cell r="D142" t="str">
            <v>Połaniec</v>
          </cell>
        </row>
        <row r="143">
          <cell r="A143" t="str">
            <v>M0022</v>
          </cell>
          <cell r="B143" t="str">
            <v>Paweł </v>
          </cell>
          <cell r="C143" t="str">
            <v>MOŹDZIERZ</v>
          </cell>
          <cell r="D143" t="str">
            <v>Gorlice</v>
          </cell>
        </row>
        <row r="144">
          <cell r="A144" t="str">
            <v>M0023</v>
          </cell>
          <cell r="B144" t="str">
            <v>Tymoteusz</v>
          </cell>
          <cell r="C144" t="str">
            <v>MALIK</v>
          </cell>
          <cell r="D144" t="str">
            <v>Tarnobrzeg</v>
          </cell>
        </row>
        <row r="145">
          <cell r="A145" t="str">
            <v>M0024</v>
          </cell>
          <cell r="B145" t="str">
            <v>Tomasz</v>
          </cell>
          <cell r="C145" t="str">
            <v>MATOGA</v>
          </cell>
          <cell r="D145" t="str">
            <v>Myślenice</v>
          </cell>
        </row>
        <row r="146">
          <cell r="A146" t="str">
            <v>M0025</v>
          </cell>
          <cell r="B146" t="str">
            <v>Bogdan</v>
          </cell>
          <cell r="C146" t="str">
            <v>MATOGA</v>
          </cell>
          <cell r="D146" t="str">
            <v>Myślenice</v>
          </cell>
        </row>
        <row r="147">
          <cell r="A147" t="str">
            <v>M0026</v>
          </cell>
          <cell r="B147" t="str">
            <v>Wojciech</v>
          </cell>
          <cell r="C147" t="str">
            <v>MACHAJ</v>
          </cell>
          <cell r="D147" t="str">
            <v>Mielec</v>
          </cell>
        </row>
        <row r="148">
          <cell r="A148" t="str">
            <v>M0027</v>
          </cell>
          <cell r="B148" t="str">
            <v>Beata</v>
          </cell>
          <cell r="C148" t="str">
            <v>MYCEK</v>
          </cell>
          <cell r="D148" t="str">
            <v>Nowa Dęba</v>
          </cell>
        </row>
        <row r="149">
          <cell r="A149" t="str">
            <v>M0028</v>
          </cell>
          <cell r="B149" t="str">
            <v>Kazimierz</v>
          </cell>
          <cell r="C149" t="str">
            <v>MOSKAL</v>
          </cell>
          <cell r="D149" t="str">
            <v>Ropczyce</v>
          </cell>
        </row>
        <row r="150">
          <cell r="A150" t="str">
            <v>M0029</v>
          </cell>
          <cell r="B150" t="str">
            <v>Mateusz</v>
          </cell>
          <cell r="C150" t="str">
            <v>MYSZKA</v>
          </cell>
          <cell r="D150" t="str">
            <v>Żupawa</v>
          </cell>
        </row>
        <row r="151">
          <cell r="A151" t="str">
            <v>N0001</v>
          </cell>
          <cell r="B151" t="str">
            <v>Andrzej</v>
          </cell>
          <cell r="C151" t="str">
            <v>NOSEK</v>
          </cell>
          <cell r="D151" t="str">
            <v>Tarnów</v>
          </cell>
        </row>
        <row r="152">
          <cell r="A152" t="str">
            <v>N0002</v>
          </cell>
          <cell r="B152" t="str">
            <v>Robert</v>
          </cell>
          <cell r="C152" t="str">
            <v>NOWAK</v>
          </cell>
          <cell r="D152" t="str">
            <v>Mielec</v>
          </cell>
        </row>
        <row r="153">
          <cell r="A153" t="str">
            <v>N0003</v>
          </cell>
          <cell r="B153" t="str">
            <v>Mateusz</v>
          </cell>
          <cell r="C153" t="str">
            <v>NOWAK</v>
          </cell>
          <cell r="D153" t="str">
            <v>Mielec</v>
          </cell>
        </row>
        <row r="154">
          <cell r="A154" t="str">
            <v>N0004</v>
          </cell>
          <cell r="B154" t="str">
            <v>Jakub</v>
          </cell>
          <cell r="C154" t="str">
            <v>NIZIOŁEK</v>
          </cell>
          <cell r="D154" t="str">
            <v>Mielec</v>
          </cell>
        </row>
        <row r="155">
          <cell r="A155" t="str">
            <v>N0005</v>
          </cell>
          <cell r="B155" t="str">
            <v>Izabela</v>
          </cell>
          <cell r="C155" t="str">
            <v>NOWAK</v>
          </cell>
          <cell r="D155" t="str">
            <v>Mielec</v>
          </cell>
        </row>
        <row r="156">
          <cell r="A156" t="str">
            <v>O0001</v>
          </cell>
          <cell r="B156" t="str">
            <v>Krzysztof</v>
          </cell>
          <cell r="C156" t="str">
            <v>OSTROWSKI</v>
          </cell>
          <cell r="D156" t="str">
            <v>Mielec</v>
          </cell>
        </row>
        <row r="157">
          <cell r="A157" t="str">
            <v>O0002</v>
          </cell>
          <cell r="B157" t="str">
            <v>Justyna</v>
          </cell>
          <cell r="C157" t="str">
            <v>OZGA</v>
          </cell>
          <cell r="D157" t="str">
            <v>Mielec</v>
          </cell>
        </row>
        <row r="158">
          <cell r="A158" t="str">
            <v>O0003</v>
          </cell>
          <cell r="B158" t="str">
            <v>Aleksandra</v>
          </cell>
          <cell r="C158" t="str">
            <v>OŻÓG</v>
          </cell>
          <cell r="D158" t="str">
            <v>Sokołów Młp.</v>
          </cell>
        </row>
        <row r="159">
          <cell r="A159" t="str">
            <v>O0004</v>
          </cell>
          <cell r="B159" t="str">
            <v>Krzysztof</v>
          </cell>
          <cell r="C159" t="str">
            <v>ORZECHOWICZ</v>
          </cell>
          <cell r="D159" t="str">
            <v>Tarnowiec</v>
          </cell>
        </row>
        <row r="160">
          <cell r="A160" t="str">
            <v>O0005</v>
          </cell>
          <cell r="B160" t="str">
            <v>Michał</v>
          </cell>
          <cell r="C160" t="str">
            <v>ORZECHOWICZ</v>
          </cell>
          <cell r="D160" t="str">
            <v>Tarnowiec</v>
          </cell>
        </row>
        <row r="161">
          <cell r="A161" t="str">
            <v>O0006</v>
          </cell>
          <cell r="B161" t="str">
            <v>Jessica</v>
          </cell>
          <cell r="C161" t="str">
            <v>ORZECHOWICZ</v>
          </cell>
          <cell r="D161" t="str">
            <v>Tarnowiec</v>
          </cell>
        </row>
        <row r="162">
          <cell r="A162" t="str">
            <v>P0001</v>
          </cell>
          <cell r="B162" t="str">
            <v>Dagmara</v>
          </cell>
          <cell r="C162" t="str">
            <v>PEŁKA</v>
          </cell>
          <cell r="D162" t="str">
            <v>Nowa Dęba</v>
          </cell>
        </row>
        <row r="163">
          <cell r="A163" t="str">
            <v>P0002</v>
          </cell>
          <cell r="B163" t="str">
            <v>Dariusz</v>
          </cell>
          <cell r="C163" t="str">
            <v>PIEKARZ</v>
          </cell>
          <cell r="D163" t="str">
            <v>Gorlice</v>
          </cell>
        </row>
        <row r="164">
          <cell r="A164" t="str">
            <v>P0003</v>
          </cell>
          <cell r="B164" t="str">
            <v>Łukasz</v>
          </cell>
          <cell r="C164" t="str">
            <v>PIENIĄŻEK</v>
          </cell>
          <cell r="D164" t="str">
            <v>Rzeszów</v>
          </cell>
        </row>
        <row r="165">
          <cell r="A165" t="str">
            <v>P0004</v>
          </cell>
          <cell r="B165" t="str">
            <v>Paweł</v>
          </cell>
          <cell r="C165" t="str">
            <v>POCIASK</v>
          </cell>
          <cell r="D165" t="str">
            <v>Ropczyce</v>
          </cell>
        </row>
        <row r="166">
          <cell r="A166" t="str">
            <v>P0005</v>
          </cell>
          <cell r="B166" t="str">
            <v>Michał</v>
          </cell>
          <cell r="C166" t="str">
            <v>POCZĄTEK</v>
          </cell>
          <cell r="D166" t="str">
            <v>Szczucin</v>
          </cell>
        </row>
        <row r="167">
          <cell r="A167" t="str">
            <v>P0006</v>
          </cell>
          <cell r="B167" t="str">
            <v>Daniel</v>
          </cell>
          <cell r="C167" t="str">
            <v>PODLASIŃSKI</v>
          </cell>
          <cell r="D167" t="str">
            <v>Szczucin</v>
          </cell>
        </row>
        <row r="168">
          <cell r="A168" t="str">
            <v>P0007</v>
          </cell>
          <cell r="B168" t="str">
            <v>Piotr</v>
          </cell>
          <cell r="C168" t="str">
            <v>POŁOWNIAK</v>
          </cell>
          <cell r="D168" t="str">
            <v>Tarnobrzeg</v>
          </cell>
        </row>
        <row r="169">
          <cell r="A169" t="str">
            <v>P0008</v>
          </cell>
          <cell r="B169" t="str">
            <v>Dawid</v>
          </cell>
          <cell r="C169" t="str">
            <v>PTAK</v>
          </cell>
          <cell r="D169" t="str">
            <v>Tarnów</v>
          </cell>
        </row>
        <row r="170">
          <cell r="A170" t="str">
            <v>P0009</v>
          </cell>
          <cell r="B170" t="str">
            <v>Michał</v>
          </cell>
          <cell r="C170" t="str">
            <v>PRZYBYŁO</v>
          </cell>
          <cell r="D170" t="str">
            <v>Gorlice</v>
          </cell>
        </row>
        <row r="171">
          <cell r="A171" t="str">
            <v>P0010</v>
          </cell>
          <cell r="B171" t="str">
            <v>Dawid</v>
          </cell>
          <cell r="C171" t="str">
            <v>PIĄTEK</v>
          </cell>
          <cell r="D171" t="str">
            <v>Mielec</v>
          </cell>
        </row>
        <row r="172">
          <cell r="A172" t="str">
            <v>P0011</v>
          </cell>
          <cell r="B172" t="str">
            <v>Krzysztof</v>
          </cell>
          <cell r="C172" t="str">
            <v>PIECHOTA</v>
          </cell>
          <cell r="D172" t="str">
            <v>Mielec</v>
          </cell>
        </row>
        <row r="173">
          <cell r="A173" t="str">
            <v>P0012</v>
          </cell>
          <cell r="B173" t="str">
            <v>Tomasz</v>
          </cell>
          <cell r="C173" t="str">
            <v>PRZYBYŁO</v>
          </cell>
          <cell r="D173" t="str">
            <v>Gorlice</v>
          </cell>
        </row>
        <row r="174">
          <cell r="A174" t="str">
            <v>P0013</v>
          </cell>
          <cell r="B174" t="str">
            <v>Bartosz</v>
          </cell>
          <cell r="C174" t="str">
            <v>PIEKARZ</v>
          </cell>
          <cell r="D174" t="str">
            <v>Gorlice</v>
          </cell>
        </row>
        <row r="175">
          <cell r="A175" t="str">
            <v>P0014</v>
          </cell>
          <cell r="B175" t="str">
            <v>Jolanta</v>
          </cell>
          <cell r="C175" t="str">
            <v>PADUCH</v>
          </cell>
          <cell r="D175" t="str">
            <v>Nowa Dęba</v>
          </cell>
        </row>
        <row r="176">
          <cell r="A176" t="str">
            <v>P0015</v>
          </cell>
          <cell r="B176" t="str">
            <v>Jacek</v>
          </cell>
          <cell r="C176" t="str">
            <v>PĘKACKI</v>
          </cell>
          <cell r="D176" t="str">
            <v>Żyrardów</v>
          </cell>
        </row>
        <row r="177">
          <cell r="A177" t="str">
            <v>P0016</v>
          </cell>
          <cell r="B177" t="str">
            <v>Maciej</v>
          </cell>
          <cell r="C177" t="str">
            <v>PATRYN</v>
          </cell>
          <cell r="D177" t="str">
            <v>Strzyżów</v>
          </cell>
        </row>
        <row r="178">
          <cell r="A178" t="str">
            <v>P0017</v>
          </cell>
          <cell r="B178" t="str">
            <v>Anna</v>
          </cell>
          <cell r="C178" t="str">
            <v>PIWODA</v>
          </cell>
          <cell r="D178" t="str">
            <v>Jarosław</v>
          </cell>
        </row>
        <row r="179">
          <cell r="A179" t="str">
            <v>P0018</v>
          </cell>
          <cell r="B179" t="str">
            <v>Kamil</v>
          </cell>
          <cell r="C179" t="str">
            <v>PŁOCH</v>
          </cell>
          <cell r="D179" t="str">
            <v>Widełka</v>
          </cell>
        </row>
        <row r="180">
          <cell r="A180" t="str">
            <v>P0019</v>
          </cell>
          <cell r="B180" t="str">
            <v>Patryk</v>
          </cell>
          <cell r="C180" t="str">
            <v>PIETRAS</v>
          </cell>
          <cell r="D180" t="str">
            <v>Mielec</v>
          </cell>
        </row>
        <row r="181">
          <cell r="A181" t="str">
            <v>P0020</v>
          </cell>
          <cell r="B181" t="str">
            <v>Tomasz</v>
          </cell>
          <cell r="C181" t="str">
            <v>PROSZEK</v>
          </cell>
          <cell r="D181" t="str">
            <v>Myślenice</v>
          </cell>
        </row>
        <row r="182">
          <cell r="A182" t="str">
            <v>P0021</v>
          </cell>
          <cell r="B182" t="str">
            <v>Mikołaj</v>
          </cell>
          <cell r="C182" t="str">
            <v>POLAŃSKI</v>
          </cell>
          <cell r="D182" t="str">
            <v>Rzeszów</v>
          </cell>
        </row>
        <row r="183">
          <cell r="A183" t="str">
            <v>P0022</v>
          </cell>
          <cell r="B183" t="str">
            <v>Mateusz</v>
          </cell>
          <cell r="C183" t="str">
            <v>POTOCKI</v>
          </cell>
          <cell r="D183" t="str">
            <v>Krosno</v>
          </cell>
        </row>
        <row r="184">
          <cell r="A184" t="str">
            <v>P0023</v>
          </cell>
          <cell r="B184" t="str">
            <v>Robert</v>
          </cell>
          <cell r="C184" t="str">
            <v>PANTOŁA</v>
          </cell>
          <cell r="D184" t="str">
            <v>Dubiecko</v>
          </cell>
        </row>
        <row r="185">
          <cell r="A185" t="str">
            <v>R0001</v>
          </cell>
          <cell r="B185" t="str">
            <v>Andrzej</v>
          </cell>
          <cell r="C185" t="str">
            <v>RACHWAŁ</v>
          </cell>
          <cell r="D185" t="str">
            <v>Straszęcin</v>
          </cell>
        </row>
        <row r="186">
          <cell r="A186" t="str">
            <v>R0002</v>
          </cell>
          <cell r="B186" t="str">
            <v>Katarzyna</v>
          </cell>
          <cell r="C186" t="str">
            <v>RUMAK</v>
          </cell>
          <cell r="D186" t="str">
            <v>Widełka</v>
          </cell>
        </row>
        <row r="187">
          <cell r="A187" t="str">
            <v>R0003</v>
          </cell>
          <cell r="B187" t="str">
            <v>Dawid</v>
          </cell>
          <cell r="C187" t="str">
            <v>RZĄSA</v>
          </cell>
          <cell r="D187" t="str">
            <v>Nowa Dęba</v>
          </cell>
        </row>
        <row r="188">
          <cell r="A188" t="str">
            <v>R0004</v>
          </cell>
          <cell r="B188" t="str">
            <v>Dariusz</v>
          </cell>
          <cell r="C188" t="str">
            <v>RACHWAŁ</v>
          </cell>
          <cell r="D188" t="str">
            <v>Ropczyce</v>
          </cell>
        </row>
        <row r="189">
          <cell r="A189" t="str">
            <v>R0005</v>
          </cell>
          <cell r="B189" t="str">
            <v>Piotr</v>
          </cell>
          <cell r="C189" t="str">
            <v>REMBISZ</v>
          </cell>
          <cell r="D189" t="str">
            <v>Mielec</v>
          </cell>
        </row>
        <row r="190">
          <cell r="A190" t="str">
            <v>R0006</v>
          </cell>
          <cell r="B190" t="str">
            <v>Kasper</v>
          </cell>
          <cell r="C190" t="str">
            <v>RADOŃ</v>
          </cell>
          <cell r="D190" t="str">
            <v>Mielec</v>
          </cell>
        </row>
        <row r="191">
          <cell r="A191" t="str">
            <v>R0007</v>
          </cell>
          <cell r="B191" t="str">
            <v>Daria</v>
          </cell>
          <cell r="C191" t="str">
            <v>RYBIŃSKA</v>
          </cell>
          <cell r="D191" t="str">
            <v>Mielec</v>
          </cell>
        </row>
        <row r="192">
          <cell r="A192" t="str">
            <v>R0008</v>
          </cell>
          <cell r="B192" t="str">
            <v>Dawid</v>
          </cell>
          <cell r="C192" t="str">
            <v>RZESZUTEK</v>
          </cell>
          <cell r="D192" t="str">
            <v>Mielec</v>
          </cell>
        </row>
        <row r="193">
          <cell r="A193" t="str">
            <v>R0009</v>
          </cell>
          <cell r="B193" t="str">
            <v>Konrad</v>
          </cell>
          <cell r="C193" t="str">
            <v>ROŻNIAŁ</v>
          </cell>
          <cell r="D193" t="str">
            <v>Mielec</v>
          </cell>
        </row>
        <row r="194">
          <cell r="A194" t="str">
            <v>R0010</v>
          </cell>
          <cell r="B194" t="str">
            <v>Marek</v>
          </cell>
          <cell r="C194" t="str">
            <v>REGUŁA</v>
          </cell>
          <cell r="D194" t="str">
            <v>Mielec</v>
          </cell>
        </row>
        <row r="195">
          <cell r="A195" t="str">
            <v>R0011</v>
          </cell>
          <cell r="B195" t="str">
            <v>Urszula</v>
          </cell>
          <cell r="C195" t="str">
            <v>RUMAK</v>
          </cell>
          <cell r="D195" t="str">
            <v>Widełka</v>
          </cell>
        </row>
        <row r="196">
          <cell r="A196" t="str">
            <v>R0012</v>
          </cell>
          <cell r="B196" t="str">
            <v>Marek</v>
          </cell>
          <cell r="C196" t="str">
            <v>RZĄSA</v>
          </cell>
          <cell r="D196" t="str">
            <v>Nowa Dęba</v>
          </cell>
        </row>
        <row r="197">
          <cell r="A197" t="str">
            <v>R0013</v>
          </cell>
          <cell r="B197" t="str">
            <v>Natalia</v>
          </cell>
          <cell r="C197" t="str">
            <v>RÓG</v>
          </cell>
          <cell r="D197" t="str">
            <v>Nowa Dęba</v>
          </cell>
        </row>
        <row r="198">
          <cell r="A198" t="str">
            <v>R0014</v>
          </cell>
          <cell r="B198" t="str">
            <v>Agata</v>
          </cell>
          <cell r="C198" t="str">
            <v>RZESZUTKO-POLAK</v>
          </cell>
          <cell r="D198" t="str">
            <v>Rzeszów</v>
          </cell>
        </row>
        <row r="199">
          <cell r="A199" t="str">
            <v>R0015</v>
          </cell>
          <cell r="B199" t="str">
            <v>Oskar</v>
          </cell>
          <cell r="C199" t="str">
            <v>RADZAJ</v>
          </cell>
          <cell r="D199" t="str">
            <v>Mielec</v>
          </cell>
        </row>
        <row r="200">
          <cell r="A200" t="str">
            <v>R0016</v>
          </cell>
          <cell r="B200" t="str">
            <v>Oliwia</v>
          </cell>
          <cell r="C200" t="str">
            <v>RYBIŃSKA</v>
          </cell>
          <cell r="D200" t="str">
            <v>Mielec</v>
          </cell>
        </row>
        <row r="201">
          <cell r="A201" t="str">
            <v>R0017</v>
          </cell>
          <cell r="B201" t="str">
            <v>Patryk</v>
          </cell>
          <cell r="C201" t="str">
            <v>RUSIN</v>
          </cell>
          <cell r="D201" t="str">
            <v>Mielec</v>
          </cell>
        </row>
        <row r="202">
          <cell r="A202" t="str">
            <v>S0001</v>
          </cell>
          <cell r="B202" t="str">
            <v>Justyna</v>
          </cell>
          <cell r="C202" t="str">
            <v>SABAT</v>
          </cell>
          <cell r="D202" t="str">
            <v>Sokołów Młp.</v>
          </cell>
        </row>
        <row r="203">
          <cell r="A203" t="str">
            <v>S0002</v>
          </cell>
          <cell r="B203" t="str">
            <v>Dominik</v>
          </cell>
          <cell r="C203" t="str">
            <v>SADO</v>
          </cell>
          <cell r="D203" t="str">
            <v>Ropczyce</v>
          </cell>
        </row>
        <row r="204">
          <cell r="A204" t="str">
            <v>S0003</v>
          </cell>
          <cell r="B204" t="str">
            <v>Sebastian</v>
          </cell>
          <cell r="C204" t="str">
            <v>SADO</v>
          </cell>
          <cell r="D204" t="str">
            <v>Ropczyce</v>
          </cell>
        </row>
        <row r="205">
          <cell r="A205" t="str">
            <v>S0004</v>
          </cell>
          <cell r="B205" t="str">
            <v>Łukasz</v>
          </cell>
          <cell r="C205" t="str">
            <v>SAŁEK</v>
          </cell>
          <cell r="D205" t="str">
            <v>Tarnobrzeg</v>
          </cell>
        </row>
        <row r="206">
          <cell r="A206" t="str">
            <v>S0005</v>
          </cell>
          <cell r="B206" t="str">
            <v>Adam</v>
          </cell>
          <cell r="C206" t="str">
            <v>SIDOR</v>
          </cell>
          <cell r="D206" t="str">
            <v>Sokołów Młp.</v>
          </cell>
        </row>
        <row r="207">
          <cell r="A207" t="str">
            <v>S0006</v>
          </cell>
          <cell r="B207" t="str">
            <v>Katarzyna</v>
          </cell>
          <cell r="C207" t="str">
            <v>SIERADZKA</v>
          </cell>
          <cell r="D207" t="str">
            <v>Rzeszów</v>
          </cell>
        </row>
        <row r="208">
          <cell r="A208" t="str">
            <v>S0007</v>
          </cell>
          <cell r="B208" t="str">
            <v>Wojciech</v>
          </cell>
          <cell r="C208" t="str">
            <v>SITKO</v>
          </cell>
          <cell r="D208" t="str">
            <v>Szczucin</v>
          </cell>
        </row>
        <row r="209">
          <cell r="A209" t="str">
            <v>S0008</v>
          </cell>
          <cell r="B209" t="str">
            <v>Agnieszka</v>
          </cell>
          <cell r="C209" t="str">
            <v>SKOWROŃSKA</v>
          </cell>
          <cell r="D209" t="str">
            <v>Nowa Dęba</v>
          </cell>
        </row>
        <row r="210">
          <cell r="A210" t="str">
            <v>S0009</v>
          </cell>
          <cell r="B210" t="str">
            <v>Piotr</v>
          </cell>
          <cell r="C210" t="str">
            <v>SKRZEK</v>
          </cell>
          <cell r="D210" t="str">
            <v>Straszęcin</v>
          </cell>
        </row>
        <row r="211">
          <cell r="A211" t="str">
            <v>S0010</v>
          </cell>
          <cell r="B211" t="str">
            <v>Rafał</v>
          </cell>
          <cell r="C211" t="str">
            <v>SKRZEK</v>
          </cell>
          <cell r="D211" t="str">
            <v>Straszęcin</v>
          </cell>
        </row>
        <row r="212">
          <cell r="A212" t="str">
            <v>S0011</v>
          </cell>
          <cell r="B212" t="str">
            <v>Szymon</v>
          </cell>
          <cell r="C212" t="str">
            <v>SOBOŃ</v>
          </cell>
          <cell r="D212" t="str">
            <v>Sokołów Młp.</v>
          </cell>
        </row>
        <row r="213">
          <cell r="A213" t="str">
            <v>S0012</v>
          </cell>
          <cell r="B213" t="str">
            <v>Mateusz</v>
          </cell>
          <cell r="C213" t="str">
            <v>SOŁTYS</v>
          </cell>
          <cell r="D213" t="str">
            <v>Szczucin</v>
          </cell>
        </row>
        <row r="214">
          <cell r="A214" t="str">
            <v>S0013</v>
          </cell>
          <cell r="B214" t="str">
            <v>Jacek</v>
          </cell>
          <cell r="C214" t="str">
            <v>STAWARZ</v>
          </cell>
          <cell r="D214" t="str">
            <v>Uppsala</v>
          </cell>
        </row>
        <row r="215">
          <cell r="A215" t="str">
            <v>S0014</v>
          </cell>
          <cell r="B215" t="str">
            <v>Łukasz</v>
          </cell>
          <cell r="C215" t="str">
            <v>STOCHLIŃSKI</v>
          </cell>
          <cell r="D215" t="str">
            <v>Szczucin</v>
          </cell>
        </row>
        <row r="216">
          <cell r="A216" t="str">
            <v>S0015</v>
          </cell>
          <cell r="B216" t="str">
            <v>Alicja</v>
          </cell>
          <cell r="C216" t="str">
            <v>STYSŁAWSKA</v>
          </cell>
          <cell r="D216" t="str">
            <v>Szczucin</v>
          </cell>
        </row>
        <row r="217">
          <cell r="A217" t="str">
            <v>S0016</v>
          </cell>
          <cell r="B217" t="str">
            <v>Piotr</v>
          </cell>
          <cell r="C217" t="str">
            <v>SUROWIEC</v>
          </cell>
          <cell r="D217" t="str">
            <v>Widełka</v>
          </cell>
        </row>
        <row r="218">
          <cell r="A218" t="str">
            <v>S0017</v>
          </cell>
          <cell r="B218" t="str">
            <v>Kacper</v>
          </cell>
          <cell r="C218" t="str">
            <v>SZYMCZYK</v>
          </cell>
          <cell r="D218" t="str">
            <v>Mielec</v>
          </cell>
        </row>
        <row r="219">
          <cell r="A219" t="str">
            <v>S0018</v>
          </cell>
          <cell r="B219" t="str">
            <v>Wojciech</v>
          </cell>
          <cell r="C219" t="str">
            <v>SMAGAŁA</v>
          </cell>
          <cell r="D219" t="str">
            <v>Ropczyce</v>
          </cell>
        </row>
        <row r="220">
          <cell r="A220" t="str">
            <v>S0019</v>
          </cell>
          <cell r="B220" t="str">
            <v>Katarzyna </v>
          </cell>
          <cell r="C220" t="str">
            <v>SŁOMBA</v>
          </cell>
          <cell r="D220" t="str">
            <v>Mielec</v>
          </cell>
        </row>
        <row r="221">
          <cell r="A221" t="str">
            <v>S0020</v>
          </cell>
          <cell r="B221" t="str">
            <v>Mariusz</v>
          </cell>
          <cell r="C221" t="str">
            <v>SŁOMBA</v>
          </cell>
          <cell r="D221" t="str">
            <v>Mielec</v>
          </cell>
        </row>
        <row r="222">
          <cell r="A222" t="str">
            <v>S0021</v>
          </cell>
          <cell r="B222" t="str">
            <v>Karolina</v>
          </cell>
          <cell r="C222" t="str">
            <v>SMOŁKOWICZ</v>
          </cell>
          <cell r="D222" t="str">
            <v>Gorlice</v>
          </cell>
        </row>
        <row r="223">
          <cell r="A223" t="str">
            <v>S0022</v>
          </cell>
          <cell r="B223" t="str">
            <v>Maciej </v>
          </cell>
          <cell r="C223" t="str">
            <v>SZUREK</v>
          </cell>
          <cell r="D223" t="str">
            <v>Gorlice</v>
          </cell>
        </row>
        <row r="224">
          <cell r="A224" t="str">
            <v>S0023</v>
          </cell>
          <cell r="B224" t="str">
            <v>Dariusz</v>
          </cell>
          <cell r="C224" t="str">
            <v>STAŃKO</v>
          </cell>
          <cell r="D224" t="str">
            <v>Przemyśl</v>
          </cell>
        </row>
        <row r="225">
          <cell r="A225" t="str">
            <v>S0024</v>
          </cell>
          <cell r="B225" t="str">
            <v>Grzegorz</v>
          </cell>
          <cell r="C225" t="str">
            <v>STAŃKO</v>
          </cell>
          <cell r="D225" t="str">
            <v>Przemyśl</v>
          </cell>
        </row>
        <row r="226">
          <cell r="A226" t="str">
            <v>S0025</v>
          </cell>
          <cell r="B226" t="str">
            <v>Wojciech</v>
          </cell>
          <cell r="C226" t="str">
            <v>STAŃKO</v>
          </cell>
          <cell r="D226" t="str">
            <v>Przemyśl</v>
          </cell>
        </row>
        <row r="227">
          <cell r="A227" t="str">
            <v>S0026</v>
          </cell>
          <cell r="B227" t="str">
            <v>Mateusz</v>
          </cell>
          <cell r="C227" t="str">
            <v>STANISZ</v>
          </cell>
          <cell r="D227" t="str">
            <v>Ropczyce</v>
          </cell>
        </row>
        <row r="228">
          <cell r="A228" t="str">
            <v>S0027</v>
          </cell>
          <cell r="B228" t="str">
            <v>Wiktor</v>
          </cell>
          <cell r="C228" t="str">
            <v>SALAMON</v>
          </cell>
          <cell r="D228" t="str">
            <v>Tarnobrzeg</v>
          </cell>
        </row>
        <row r="229">
          <cell r="A229" t="str">
            <v>S0028</v>
          </cell>
          <cell r="B229" t="str">
            <v>Tobiasz</v>
          </cell>
          <cell r="C229" t="str">
            <v>SAŁAGAJ</v>
          </cell>
          <cell r="D229" t="str">
            <v>Mielec</v>
          </cell>
        </row>
        <row r="230">
          <cell r="A230" t="str">
            <v>S0029</v>
          </cell>
          <cell r="B230" t="str">
            <v>Patryk</v>
          </cell>
          <cell r="C230" t="str">
            <v>STOLARZ</v>
          </cell>
          <cell r="D230" t="str">
            <v>Mielec</v>
          </cell>
        </row>
        <row r="231">
          <cell r="A231" t="str">
            <v>S0030</v>
          </cell>
          <cell r="B231" t="str">
            <v>Karol</v>
          </cell>
          <cell r="C231" t="str">
            <v>SZYMURA</v>
          </cell>
          <cell r="D231" t="str">
            <v>Szczucin</v>
          </cell>
        </row>
        <row r="232">
          <cell r="A232" t="str">
            <v>S0031</v>
          </cell>
          <cell r="B232" t="str">
            <v>Marcin</v>
          </cell>
          <cell r="C232" t="str">
            <v>STANECKI</v>
          </cell>
          <cell r="D232" t="str">
            <v>Kraków</v>
          </cell>
        </row>
        <row r="233">
          <cell r="A233" t="str">
            <v>S0032</v>
          </cell>
          <cell r="B233" t="str">
            <v>Łukasz</v>
          </cell>
          <cell r="C233" t="str">
            <v>SZANTULA</v>
          </cell>
          <cell r="D233" t="str">
            <v>Mielec</v>
          </cell>
        </row>
        <row r="234">
          <cell r="A234" t="str">
            <v>S0033</v>
          </cell>
          <cell r="B234" t="str">
            <v>Mikołaj</v>
          </cell>
          <cell r="C234" t="str">
            <v>STRAŻ</v>
          </cell>
          <cell r="D234" t="str">
            <v>Mielec</v>
          </cell>
        </row>
        <row r="235">
          <cell r="A235" t="str">
            <v>S0034</v>
          </cell>
          <cell r="B235" t="str">
            <v>Mateusz</v>
          </cell>
          <cell r="C235" t="str">
            <v>SUCH</v>
          </cell>
          <cell r="D235" t="str">
            <v>Krosno</v>
          </cell>
        </row>
        <row r="236">
          <cell r="A236" t="str">
            <v>S0035</v>
          </cell>
          <cell r="B236" t="str">
            <v>Kuba</v>
          </cell>
          <cell r="C236" t="str">
            <v>SITEK</v>
          </cell>
          <cell r="D236" t="str">
            <v>Rzeszów</v>
          </cell>
        </row>
        <row r="237">
          <cell r="A237" t="str">
            <v>S0036</v>
          </cell>
          <cell r="B237" t="str">
            <v>Karolina</v>
          </cell>
          <cell r="C237" t="str">
            <v>STĘPAK</v>
          </cell>
          <cell r="D237" t="str">
            <v>Stalowa Wola</v>
          </cell>
        </row>
        <row r="238">
          <cell r="A238" t="str">
            <v>S0037</v>
          </cell>
          <cell r="B238" t="str">
            <v>Anna</v>
          </cell>
          <cell r="C238" t="str">
            <v>SAWICKA</v>
          </cell>
          <cell r="D238" t="str">
            <v>Tarnowiec</v>
          </cell>
        </row>
        <row r="239">
          <cell r="A239" t="str">
            <v>S0038</v>
          </cell>
          <cell r="B239" t="str">
            <v>Kamila</v>
          </cell>
          <cell r="C239" t="str">
            <v>SZEWC</v>
          </cell>
          <cell r="D239" t="str">
            <v>Żupawa</v>
          </cell>
        </row>
        <row r="240">
          <cell r="A240" t="str">
            <v>S0040</v>
          </cell>
          <cell r="B240" t="str">
            <v>Kamil</v>
          </cell>
          <cell r="C240" t="str">
            <v>SPŁAWIŃSKI</v>
          </cell>
          <cell r="D240" t="str">
            <v>Dubiecko</v>
          </cell>
        </row>
        <row r="241">
          <cell r="A241" t="str">
            <v>Ś0001</v>
          </cell>
          <cell r="B241" t="str">
            <v>Jakub</v>
          </cell>
          <cell r="C241" t="str">
            <v>ŚLIWA</v>
          </cell>
          <cell r="D241" t="str">
            <v>Gorlice</v>
          </cell>
        </row>
        <row r="242">
          <cell r="A242" t="str">
            <v>Ś0002</v>
          </cell>
          <cell r="B242" t="str">
            <v>Ernest</v>
          </cell>
          <cell r="C242" t="str">
            <v>ŚCIPIEŃ</v>
          </cell>
          <cell r="D242" t="str">
            <v>Nowa Dęba</v>
          </cell>
        </row>
        <row r="243">
          <cell r="A243" t="str">
            <v>T0001</v>
          </cell>
          <cell r="B243" t="str">
            <v>Agata</v>
          </cell>
          <cell r="C243" t="str">
            <v>TARASZKA</v>
          </cell>
          <cell r="D243" t="str">
            <v>Nowa Dęba</v>
          </cell>
        </row>
        <row r="244">
          <cell r="A244" t="str">
            <v>T0002</v>
          </cell>
          <cell r="B244" t="str">
            <v>Mariusz</v>
          </cell>
          <cell r="C244" t="str">
            <v>TOCHOWICZ</v>
          </cell>
          <cell r="D244" t="str">
            <v>Tarnów</v>
          </cell>
        </row>
        <row r="245">
          <cell r="A245" t="str">
            <v>T0003</v>
          </cell>
          <cell r="B245" t="str">
            <v>Izabela</v>
          </cell>
          <cell r="C245" t="str">
            <v>TOMCZYK</v>
          </cell>
          <cell r="D245" t="str">
            <v>Nowa Dęba</v>
          </cell>
        </row>
        <row r="246">
          <cell r="A246" t="str">
            <v>T0004</v>
          </cell>
          <cell r="B246" t="str">
            <v>Grzegorz</v>
          </cell>
          <cell r="C246" t="str">
            <v>TALAR</v>
          </cell>
          <cell r="D246" t="str">
            <v>Szczucin</v>
          </cell>
        </row>
        <row r="247">
          <cell r="A247" t="str">
            <v>T0005</v>
          </cell>
          <cell r="B247" t="str">
            <v>Artur</v>
          </cell>
          <cell r="C247" t="str">
            <v>TUKENDORF</v>
          </cell>
          <cell r="D247" t="str">
            <v>Kraków</v>
          </cell>
        </row>
        <row r="248">
          <cell r="A248" t="str">
            <v>T0006</v>
          </cell>
          <cell r="B248" t="str">
            <v>Łukasz</v>
          </cell>
          <cell r="C248" t="str">
            <v>TYRKA</v>
          </cell>
          <cell r="D248" t="str">
            <v>Stalowa Wola</v>
          </cell>
        </row>
        <row r="249">
          <cell r="A249" t="str">
            <v>T0007</v>
          </cell>
          <cell r="B249" t="str">
            <v>Tomasz</v>
          </cell>
          <cell r="C249" t="str">
            <v>TETLA</v>
          </cell>
          <cell r="D249" t="str">
            <v>Stalowa Wola</v>
          </cell>
        </row>
        <row r="250">
          <cell r="A250" t="str">
            <v>T0008</v>
          </cell>
          <cell r="B250" t="str">
            <v>Dominika</v>
          </cell>
          <cell r="C250" t="str">
            <v>TYMOFEJEWICZ</v>
          </cell>
          <cell r="D250" t="str">
            <v>Stalowa Wola</v>
          </cell>
        </row>
        <row r="251">
          <cell r="A251" t="str">
            <v>U0001</v>
          </cell>
          <cell r="B251" t="str">
            <v>Przemysław</v>
          </cell>
          <cell r="C251" t="str">
            <v>URBAN</v>
          </cell>
          <cell r="D251" t="str">
            <v>Rzeszów</v>
          </cell>
        </row>
        <row r="252">
          <cell r="A252" t="str">
            <v>U0002</v>
          </cell>
          <cell r="B252" t="str">
            <v>Tomasz</v>
          </cell>
          <cell r="C252" t="str">
            <v>URBANIK</v>
          </cell>
          <cell r="D252" t="str">
            <v>Gorlice</v>
          </cell>
        </row>
        <row r="253">
          <cell r="A253" t="str">
            <v>W0001</v>
          </cell>
          <cell r="B253" t="str">
            <v>Mariusz</v>
          </cell>
          <cell r="C253" t="str">
            <v>WILCZAK</v>
          </cell>
          <cell r="D253" t="str">
            <v>Sokołów Młp.</v>
          </cell>
        </row>
        <row r="254">
          <cell r="A254" t="str">
            <v>W0002</v>
          </cell>
          <cell r="B254" t="str">
            <v>Dariusz</v>
          </cell>
          <cell r="C254" t="str">
            <v>WILK</v>
          </cell>
          <cell r="D254" t="str">
            <v>Kolbuszowa</v>
          </cell>
        </row>
        <row r="255">
          <cell r="A255" t="str">
            <v>W0003</v>
          </cell>
          <cell r="B255" t="str">
            <v>Krystian</v>
          </cell>
          <cell r="C255" t="str">
            <v>WILK</v>
          </cell>
          <cell r="D255" t="str">
            <v>Mielec</v>
          </cell>
        </row>
        <row r="256">
          <cell r="A256" t="str">
            <v>W0004</v>
          </cell>
          <cell r="B256" t="str">
            <v>Michał</v>
          </cell>
          <cell r="C256" t="str">
            <v>WIĄCEK</v>
          </cell>
          <cell r="D256" t="str">
            <v>Mielec</v>
          </cell>
        </row>
        <row r="257">
          <cell r="A257" t="str">
            <v>W0005</v>
          </cell>
          <cell r="B257" t="str">
            <v>Sebastian</v>
          </cell>
          <cell r="C257" t="str">
            <v>WERON</v>
          </cell>
          <cell r="D257" t="str">
            <v>Gorlice</v>
          </cell>
        </row>
        <row r="258">
          <cell r="A258" t="str">
            <v>W0006</v>
          </cell>
          <cell r="B258" t="str">
            <v>Grażyna</v>
          </cell>
          <cell r="C258" t="str">
            <v>WILCZEWSKA</v>
          </cell>
          <cell r="D258" t="str">
            <v>Strzyżów</v>
          </cell>
        </row>
        <row r="259">
          <cell r="A259" t="str">
            <v>W0007</v>
          </cell>
          <cell r="B259" t="str">
            <v>Mariusz</v>
          </cell>
          <cell r="C259" t="str">
            <v>WILCZEWSKI</v>
          </cell>
          <cell r="D259" t="str">
            <v>Strzyżów</v>
          </cell>
        </row>
        <row r="260">
          <cell r="A260" t="str">
            <v>W0008</v>
          </cell>
          <cell r="B260" t="str">
            <v>Henryk</v>
          </cell>
          <cell r="C260" t="str">
            <v>WARZECHA</v>
          </cell>
          <cell r="D260" t="str">
            <v>Kraków</v>
          </cell>
        </row>
        <row r="261">
          <cell r="A261" t="str">
            <v>W0009</v>
          </cell>
          <cell r="B261" t="str">
            <v>Karol</v>
          </cell>
          <cell r="C261" t="str">
            <v>WESOŁOWSKI</v>
          </cell>
          <cell r="D261" t="str">
            <v>Mielec</v>
          </cell>
        </row>
        <row r="262">
          <cell r="A262" t="str">
            <v>W0010</v>
          </cell>
          <cell r="B262" t="str">
            <v>Dariusz</v>
          </cell>
          <cell r="C262" t="str">
            <v>WALAS</v>
          </cell>
          <cell r="D262" t="str">
            <v>Rzeszów</v>
          </cell>
        </row>
        <row r="263">
          <cell r="A263" t="str">
            <v>W0011</v>
          </cell>
          <cell r="B263" t="str">
            <v>Arkadiusz</v>
          </cell>
          <cell r="C263" t="str">
            <v>WÓJCIK</v>
          </cell>
          <cell r="D263" t="str">
            <v>Wieliczka</v>
          </cell>
        </row>
        <row r="264">
          <cell r="A264" t="str">
            <v>W0012</v>
          </cell>
          <cell r="B264" t="str">
            <v>Tomasz</v>
          </cell>
          <cell r="C264" t="str">
            <v>WYDRO</v>
          </cell>
          <cell r="D264" t="str">
            <v>Mielec</v>
          </cell>
        </row>
        <row r="265">
          <cell r="A265" t="str">
            <v>W0013</v>
          </cell>
          <cell r="B265" t="str">
            <v>Olaf</v>
          </cell>
          <cell r="C265" t="str">
            <v>WARNECKI</v>
          </cell>
          <cell r="D265" t="str">
            <v>Rzeszów</v>
          </cell>
        </row>
        <row r="266">
          <cell r="A266" t="str">
            <v>W0014</v>
          </cell>
          <cell r="B266" t="str">
            <v>Mariusz </v>
          </cell>
          <cell r="C266" t="str">
            <v>WARNECKI</v>
          </cell>
          <cell r="D266" t="str">
            <v>Rzeszów</v>
          </cell>
        </row>
        <row r="267">
          <cell r="A267" t="str">
            <v>W0015</v>
          </cell>
          <cell r="B267" t="str">
            <v>Klaudia</v>
          </cell>
          <cell r="C267" t="str">
            <v>WILK</v>
          </cell>
          <cell r="D267" t="str">
            <v>Żupawa</v>
          </cell>
        </row>
        <row r="268">
          <cell r="A268" t="str">
            <v>Z0001</v>
          </cell>
          <cell r="B268" t="str">
            <v>Jacek</v>
          </cell>
          <cell r="C268" t="str">
            <v>ZABAWA</v>
          </cell>
          <cell r="D268" t="str">
            <v>Tarnów</v>
          </cell>
        </row>
        <row r="269">
          <cell r="A269" t="str">
            <v>Z0002</v>
          </cell>
          <cell r="B269" t="str">
            <v>Konrad</v>
          </cell>
          <cell r="C269" t="str">
            <v>ZAUCHA</v>
          </cell>
          <cell r="D269" t="str">
            <v>Straszęcin</v>
          </cell>
        </row>
        <row r="270">
          <cell r="A270" t="str">
            <v>Z0003</v>
          </cell>
          <cell r="B270" t="str">
            <v>Paweł</v>
          </cell>
          <cell r="C270" t="str">
            <v>ZAUCHA</v>
          </cell>
          <cell r="D270" t="str">
            <v>Straszęcin</v>
          </cell>
        </row>
        <row r="271">
          <cell r="A271" t="str">
            <v>Z0004</v>
          </cell>
          <cell r="B271" t="str">
            <v>Aleksandra</v>
          </cell>
          <cell r="C271" t="str">
            <v>ZUBER</v>
          </cell>
          <cell r="D271" t="str">
            <v>Widełka</v>
          </cell>
        </row>
        <row r="272">
          <cell r="A272" t="str">
            <v>Z0005</v>
          </cell>
          <cell r="B272" t="str">
            <v>Łukasz</v>
          </cell>
          <cell r="C272" t="str">
            <v>ZYGORA</v>
          </cell>
          <cell r="D272" t="str">
            <v>Widełka</v>
          </cell>
        </row>
        <row r="273">
          <cell r="A273" t="str">
            <v>Z0006</v>
          </cell>
          <cell r="B273" t="str">
            <v>Wiloetta</v>
          </cell>
          <cell r="C273" t="str">
            <v>ZIOŁO</v>
          </cell>
          <cell r="D273" t="str">
            <v>Żupawa</v>
          </cell>
        </row>
        <row r="274">
          <cell r="A274" t="str">
            <v>Ż0001</v>
          </cell>
          <cell r="B274" t="str">
            <v>Monika</v>
          </cell>
          <cell r="C274" t="str">
            <v>ŻARÓW</v>
          </cell>
          <cell r="D274" t="str">
            <v>Nowa Dęba</v>
          </cell>
        </row>
        <row r="275">
          <cell r="A275" t="str">
            <v>Ż0002</v>
          </cell>
          <cell r="B275" t="str">
            <v>Mateusz</v>
          </cell>
          <cell r="C275" t="str">
            <v>ŻĄDŁO</v>
          </cell>
          <cell r="D275" t="str">
            <v>Kolbuszowa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55"/>
  <sheetViews>
    <sheetView view="pageBreakPreview" zoomScale="60" zoomScaleNormal="75" zoomScalePageLayoutView="0" workbookViewId="0" topLeftCell="P1">
      <selection activeCell="BQ15" sqref="BQ15"/>
    </sheetView>
  </sheetViews>
  <sheetFormatPr defaultColWidth="9.28125" defaultRowHeight="15"/>
  <cols>
    <col min="1" max="1" width="2.28125" style="1" hidden="1" customWidth="1"/>
    <col min="2" max="2" width="6.7109375" style="2" hidden="1" customWidth="1"/>
    <col min="3" max="3" width="9.28125" style="2" hidden="1" customWidth="1"/>
    <col min="4" max="4" width="7.28125" style="2" hidden="1" customWidth="1"/>
    <col min="5" max="5" width="9.28125" style="2" hidden="1" customWidth="1"/>
    <col min="6" max="6" width="6.7109375" style="2" hidden="1" customWidth="1"/>
    <col min="7" max="7" width="9.28125" style="2" hidden="1" customWidth="1"/>
    <col min="8" max="8" width="15.28125" style="2" hidden="1" customWidth="1"/>
    <col min="9" max="9" width="19.7109375" style="2" hidden="1" customWidth="1"/>
    <col min="10" max="11" width="6.7109375" style="8" hidden="1" customWidth="1"/>
    <col min="12" max="12" width="10.7109375" style="8" hidden="1" customWidth="1"/>
    <col min="13" max="13" width="26.140625" style="2" hidden="1" customWidth="1"/>
    <col min="14" max="14" width="11.7109375" style="28" hidden="1" customWidth="1"/>
    <col min="15" max="15" width="3.140625" style="8" hidden="1" customWidth="1"/>
    <col min="16" max="16" width="3.140625" style="8" customWidth="1"/>
    <col min="17" max="17" width="12.140625" style="87" customWidth="1"/>
    <col min="18" max="19" width="4.140625" style="87" customWidth="1"/>
    <col min="20" max="20" width="3.421875" style="87" bestFit="1" customWidth="1"/>
    <col min="21" max="21" width="55.7109375" style="87" customWidth="1"/>
    <col min="22" max="22" width="3.7109375" style="87" customWidth="1"/>
    <col min="23" max="25" width="6.7109375" style="87" customWidth="1"/>
    <col min="26" max="27" width="8.7109375" style="87" bestFit="1" customWidth="1"/>
    <col min="28" max="28" width="8.7109375" style="87" customWidth="1"/>
    <col min="29" max="29" width="7.7109375" style="87" bestFit="1" customWidth="1"/>
    <col min="30" max="30" width="7.7109375" style="87" customWidth="1"/>
    <col min="31" max="31" width="7.7109375" style="12" customWidth="1"/>
    <col min="32" max="32" width="7.7109375" style="12" hidden="1" customWidth="1"/>
    <col min="33" max="33" width="4.140625" style="12" hidden="1" customWidth="1"/>
    <col min="34" max="45" width="2.140625" style="12" hidden="1" customWidth="1"/>
    <col min="46" max="47" width="2.28125" style="12" hidden="1" customWidth="1"/>
    <col min="48" max="53" width="2.140625" style="12" hidden="1" customWidth="1"/>
    <col min="54" max="55" width="3.7109375" style="12" hidden="1" customWidth="1"/>
    <col min="56" max="61" width="2.140625" style="12" hidden="1" customWidth="1"/>
    <col min="62" max="62" width="8.140625" style="12" hidden="1" customWidth="1"/>
    <col min="63" max="63" width="11.28125" style="13" hidden="1" customWidth="1"/>
    <col min="64" max="64" width="0" style="2" hidden="1" customWidth="1"/>
    <col min="65" max="65" width="15.28125" style="2" hidden="1" customWidth="1"/>
    <col min="66" max="67" width="0" style="2" hidden="1" customWidth="1"/>
    <col min="68" max="16384" width="9.28125" style="2" customWidth="1"/>
  </cols>
  <sheetData>
    <row r="1" spans="10:63" ht="12" customHeight="1">
      <c r="J1" s="3"/>
      <c r="K1" s="3"/>
      <c r="L1" s="3"/>
      <c r="N1" s="4"/>
      <c r="O1" s="3"/>
      <c r="P1" s="3"/>
      <c r="Q1" s="252" t="str">
        <f>IF(ISBLANK('[1]dane'!$D$2),"",'[1]dane'!$D$2)</f>
        <v>72 Grand Prix Victora</v>
      </c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7"/>
    </row>
    <row r="2" spans="10:63" ht="12" customHeight="1">
      <c r="J2" s="3"/>
      <c r="K2" s="3"/>
      <c r="L2" s="3"/>
      <c r="N2" s="4"/>
      <c r="O2" s="3"/>
      <c r="P2" s="3"/>
      <c r="Q2" s="252" t="str">
        <f>IF(ISBLANK('[1]dane'!$D$3),"",'[1]dane'!$D$3)</f>
        <v>Mielec,  21-04-2013 r.</v>
      </c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7"/>
    </row>
    <row r="3" spans="10:63" ht="12" customHeight="1">
      <c r="J3" s="3"/>
      <c r="K3" s="3"/>
      <c r="L3" s="3"/>
      <c r="N3" s="4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7"/>
    </row>
    <row r="4" spans="13:31" ht="11.25" customHeight="1">
      <c r="M4" s="9"/>
      <c r="N4" s="10" t="s">
        <v>0</v>
      </c>
      <c r="Q4" s="253" t="str">
        <f>"Gra "&amp;N4</f>
        <v>Gra Beginners</v>
      </c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</row>
    <row r="5" spans="10:63" ht="12" customHeight="1" thickBot="1">
      <c r="J5" s="3"/>
      <c r="K5" s="3"/>
      <c r="L5" s="3"/>
      <c r="N5" s="4"/>
      <c r="O5" s="3"/>
      <c r="P5" s="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7"/>
    </row>
    <row r="6" spans="14:32" ht="11.25" customHeight="1" thickBot="1">
      <c r="N6" s="8"/>
      <c r="O6" s="14">
        <v>1</v>
      </c>
      <c r="Q6" s="253" t="str">
        <f>"Grupa "&amp;O6&amp;"."</f>
        <v>Grupa 1.</v>
      </c>
      <c r="R6" s="253"/>
      <c r="S6" s="254"/>
      <c r="T6" s="15" t="s">
        <v>1</v>
      </c>
      <c r="U6" s="255" t="s">
        <v>2</v>
      </c>
      <c r="V6" s="256"/>
      <c r="W6" s="15">
        <v>1</v>
      </c>
      <c r="X6" s="17">
        <v>2</v>
      </c>
      <c r="Y6" s="18">
        <v>3</v>
      </c>
      <c r="Z6" s="19" t="s">
        <v>3</v>
      </c>
      <c r="AA6" s="20" t="s">
        <v>4</v>
      </c>
      <c r="AB6" s="20" t="s">
        <v>5</v>
      </c>
      <c r="AC6" s="21" t="s">
        <v>6</v>
      </c>
      <c r="AD6" s="2"/>
      <c r="AE6" s="22"/>
      <c r="AF6" s="22"/>
    </row>
    <row r="7" spans="10:45" ht="11.25" customHeight="1">
      <c r="J7" s="23"/>
      <c r="K7" s="23"/>
      <c r="L7" s="23"/>
      <c r="N7" s="24" t="s">
        <v>0</v>
      </c>
      <c r="Q7" s="257" t="s">
        <v>7</v>
      </c>
      <c r="R7" s="257"/>
      <c r="S7" s="258" t="s">
        <v>8</v>
      </c>
      <c r="T7" s="259">
        <v>1</v>
      </c>
      <c r="U7" s="262">
        <f>IF(AND(N8&lt;&gt;"",N9&lt;&gt;""),CONCATENATE(VLOOKUP(N8,'[1]zawodnicy'!$A:$E,1,FALSE)," ",VLOOKUP(N8,'[1]zawodnicy'!$A:$E,2,FALSE)," ",VLOOKUP(N8,'[1]zawodnicy'!$A:$E,3,FALSE)," - ",VLOOKUP(N8,'[1]zawodnicy'!$A:$E,4,FALSE)),"")</f>
      </c>
      <c r="V7" s="263"/>
      <c r="W7" s="25"/>
      <c r="X7" s="26" t="str">
        <f>IF(SUM(AN12:AO12)=0,"",AN12&amp;":"&amp;AO12)</f>
        <v>21:10</v>
      </c>
      <c r="Y7" s="27" t="str">
        <f>IF(SUM(AN10:AO10)=0,"",AN10&amp;":"&amp;AO10)</f>
        <v>21:5</v>
      </c>
      <c r="Z7" s="259" t="str">
        <f>IF(SUM(AX10:BA10)=0,"",BD10&amp;":"&amp;BE10)</f>
        <v>84:24</v>
      </c>
      <c r="AA7" s="264" t="str">
        <f>IF(SUM(AX10:BA10)=0,"",BF10&amp;":"&amp;BG10)</f>
        <v>4:0</v>
      </c>
      <c r="AB7" s="264" t="str">
        <f>IF(SUM(AX10:BA10)=0,"",BH10&amp;":"&amp;BI10)</f>
        <v>2:0</v>
      </c>
      <c r="AC7" s="267">
        <f>IF(SUM(BH10:BH12)&gt;0,BJ10,"")</f>
        <v>1</v>
      </c>
      <c r="AD7" s="2"/>
      <c r="AE7" s="22"/>
      <c r="AF7" s="22"/>
      <c r="AG7" s="28"/>
      <c r="AH7" s="270" t="s">
        <v>9</v>
      </c>
      <c r="AI7" s="270"/>
      <c r="AJ7" s="270"/>
      <c r="AK7" s="270"/>
      <c r="AL7" s="270"/>
      <c r="AM7" s="270"/>
      <c r="AN7" s="270" t="s">
        <v>10</v>
      </c>
      <c r="AO7" s="270"/>
      <c r="AP7" s="270"/>
      <c r="AQ7" s="270"/>
      <c r="AR7" s="270"/>
      <c r="AS7" s="270"/>
    </row>
    <row r="8" spans="9:59" ht="11.25" customHeight="1" thickBot="1">
      <c r="I8" s="2" t="str">
        <f>"1"&amp;O6&amp;N7</f>
        <v>11Beginners</v>
      </c>
      <c r="J8" s="29" t="str">
        <f>IF(AC7="","",IF(AC7=1,N8,IF(AC10=1,N11,IF(AC13=1,N14,""))))</f>
        <v>M0026</v>
      </c>
      <c r="K8" s="29">
        <f>IF(AC7="","",IF(AC7=1,N9,IF(AC10=1,N12,IF(AC13=1,N15,""))))</f>
        <v>0</v>
      </c>
      <c r="L8" s="29"/>
      <c r="N8" s="30" t="s">
        <v>11</v>
      </c>
      <c r="O8" s="31">
        <f>IF(O6&gt;0,(O6&amp;1)*1,"")</f>
        <v>11</v>
      </c>
      <c r="Q8" s="257"/>
      <c r="R8" s="257"/>
      <c r="S8" s="258"/>
      <c r="T8" s="260"/>
      <c r="U8" s="271" t="str">
        <f>IF(AND(N8&lt;&gt;"",N9=""),CONCATENATE(VLOOKUP(N8,'[1]zawodnicy'!$A:$E,1,FALSE)," ",VLOOKUP(N8,'[1]zawodnicy'!$A:$E,2,FALSE)," ",VLOOKUP(N8,'[1]zawodnicy'!$A:$E,3,FALSE)," - ",VLOOKUP(N8,'[1]zawodnicy'!$A:$E,4,FALSE)),"")</f>
        <v>M0026 Wojciech MACHAJ - Mielec</v>
      </c>
      <c r="V8" s="272"/>
      <c r="W8" s="32"/>
      <c r="X8" s="33" t="str">
        <f>IF(SUM(AP12:AQ12)=0,"",AP12&amp;":"&amp;AQ12)</f>
        <v>21:7</v>
      </c>
      <c r="Y8" s="34" t="str">
        <f>IF(SUM(AP10:AQ10)=0,"",AP10&amp;":"&amp;AQ10)</f>
        <v>21:2</v>
      </c>
      <c r="Z8" s="260"/>
      <c r="AA8" s="265"/>
      <c r="AB8" s="265"/>
      <c r="AC8" s="268"/>
      <c r="AD8" s="2"/>
      <c r="AE8" s="22"/>
      <c r="AF8" s="22"/>
      <c r="AG8" s="28"/>
      <c r="BD8" s="12">
        <f>SUM(BD10:BD12)</f>
        <v>168</v>
      </c>
      <c r="BE8" s="12">
        <f>SUM(BE10:BE12)</f>
        <v>168</v>
      </c>
      <c r="BF8" s="12">
        <f>SUM(BF10:BF12)</f>
        <v>6</v>
      </c>
      <c r="BG8" s="12">
        <f>SUM(BG10:BG12)</f>
        <v>6</v>
      </c>
    </row>
    <row r="9" spans="10:63" ht="11.25" customHeight="1" thickBot="1">
      <c r="J9" s="29"/>
      <c r="K9" s="23"/>
      <c r="L9" s="23"/>
      <c r="N9" s="35"/>
      <c r="O9" s="23"/>
      <c r="P9" s="23"/>
      <c r="Q9" s="257"/>
      <c r="R9" s="257"/>
      <c r="S9" s="258"/>
      <c r="T9" s="261"/>
      <c r="U9" s="273">
        <f>IF(N9&lt;&gt;"",CONCATENATE(VLOOKUP(N9,'[1]zawodnicy'!$A:$E,1,FALSE)," ",VLOOKUP(N9,'[1]zawodnicy'!$A:$E,2,FALSE)," ",VLOOKUP(N9,'[1]zawodnicy'!$A:$E,3,FALSE)," - ",VLOOKUP(N9,'[1]zawodnicy'!$A:$E,4,FALSE)),"")</f>
      </c>
      <c r="V9" s="274"/>
      <c r="W9" s="32"/>
      <c r="X9" s="36">
        <f>IF(SUM(AR12:AS12)=0,"",AR12&amp;":"&amp;AS12)</f>
      </c>
      <c r="Y9" s="37">
        <f>IF(SUM(AR10:AS10)=0,"",AR10&amp;":"&amp;AS10)</f>
      </c>
      <c r="Z9" s="261"/>
      <c r="AA9" s="266"/>
      <c r="AB9" s="266"/>
      <c r="AC9" s="269"/>
      <c r="AD9" s="2"/>
      <c r="AE9" s="22"/>
      <c r="AF9" s="22"/>
      <c r="AG9" s="28"/>
      <c r="AH9" s="275" t="s">
        <v>12</v>
      </c>
      <c r="AI9" s="276"/>
      <c r="AJ9" s="277" t="s">
        <v>13</v>
      </c>
      <c r="AK9" s="276"/>
      <c r="AL9" s="277" t="s">
        <v>14</v>
      </c>
      <c r="AM9" s="278"/>
      <c r="AN9" s="275" t="s">
        <v>12</v>
      </c>
      <c r="AO9" s="276"/>
      <c r="AP9" s="277" t="s">
        <v>13</v>
      </c>
      <c r="AQ9" s="276"/>
      <c r="AR9" s="277" t="s">
        <v>14</v>
      </c>
      <c r="AS9" s="276"/>
      <c r="AT9" s="22"/>
      <c r="AU9" s="22"/>
      <c r="AV9" s="275">
        <v>1</v>
      </c>
      <c r="AW9" s="276"/>
      <c r="AX9" s="277">
        <v>2</v>
      </c>
      <c r="AY9" s="276"/>
      <c r="AZ9" s="277">
        <v>3</v>
      </c>
      <c r="BA9" s="278"/>
      <c r="BD9" s="275" t="s">
        <v>3</v>
      </c>
      <c r="BE9" s="278"/>
      <c r="BF9" s="275" t="s">
        <v>4</v>
      </c>
      <c r="BG9" s="278"/>
      <c r="BH9" s="275" t="s">
        <v>5</v>
      </c>
      <c r="BI9" s="278"/>
      <c r="BJ9" s="38" t="s">
        <v>6</v>
      </c>
      <c r="BK9" s="13">
        <f>SUM(BK10:BK12)</f>
        <v>0</v>
      </c>
    </row>
    <row r="10" spans="1:63" ht="11.25" customHeight="1">
      <c r="A10" s="12">
        <f>S10</f>
        <v>1</v>
      </c>
      <c r="B10" s="2" t="str">
        <f>IF(N8="","",N8)</f>
        <v>M0026</v>
      </c>
      <c r="C10" s="2">
        <f>IF(N9="","",N9)</f>
      </c>
      <c r="D10" s="2" t="str">
        <f>IF(N14="","",N14)</f>
        <v>S0038</v>
      </c>
      <c r="E10" s="2">
        <f>IF(N15="","",N15)</f>
      </c>
      <c r="I10" s="2" t="str">
        <f>"2"&amp;O6&amp;N7</f>
        <v>21Beginners</v>
      </c>
      <c r="J10" s="29" t="str">
        <f>IF(AC10="","",IF(AC7=2,N8,IF(AC10=2,N11,IF(AC13=2,N14,""))))</f>
        <v>P0021</v>
      </c>
      <c r="K10" s="29">
        <f>IF(AC10="","",IF(AC7=2,N9,IF(AC10=2,N12,IF(AC13=2,N15,""))))</f>
        <v>0</v>
      </c>
      <c r="M10" s="39" t="str">
        <f>N7</f>
        <v>Beginners</v>
      </c>
      <c r="O10" s="23"/>
      <c r="P10" s="23"/>
      <c r="Q10" s="40">
        <f>IF(AT10&gt;0,"",IF(A10=0,"",IF(VLOOKUP(A10,'[1]plan gier'!A:S,19,FALSE)="","",VLOOKUP(A10,'[1]plan gier'!A:S,19,FALSE))))</f>
      </c>
      <c r="R10" s="41" t="s">
        <v>15</v>
      </c>
      <c r="S10" s="42">
        <v>1</v>
      </c>
      <c r="T10" s="279">
        <v>2</v>
      </c>
      <c r="U10" s="280">
        <f>IF(AND(N11&lt;&gt;"",N12&lt;&gt;""),CONCATENATE(VLOOKUP(N11,'[1]zawodnicy'!$A:$E,1,FALSE)," ",VLOOKUP(N11,'[1]zawodnicy'!$A:$E,2,FALSE)," ",VLOOKUP(N11,'[1]zawodnicy'!$A:$E,3,FALSE)," - ",VLOOKUP(N11,'[1]zawodnicy'!$A:$E,4,FALSE)),"")</f>
      </c>
      <c r="V10" s="281"/>
      <c r="W10" s="43" t="str">
        <f>IF(SUM(AN12:AO12)=0,"",AO12&amp;":"&amp;AN12)</f>
        <v>10:21</v>
      </c>
      <c r="X10" s="44"/>
      <c r="Y10" s="45" t="str">
        <f>IF(SUM(AN11:AO11)=0,"",AN11&amp;":"&amp;AO11)</f>
        <v>21:11</v>
      </c>
      <c r="Z10" s="279" t="str">
        <f>IF(SUM(AV11:AW11,AZ11:BA11)=0,"",BD11&amp;":"&amp;BE11)</f>
        <v>59:60</v>
      </c>
      <c r="AA10" s="282" t="str">
        <f>IF(SUM(AV11:AW11,AZ11:BA11)=0,"",BF11&amp;":"&amp;BG11)</f>
        <v>2:2</v>
      </c>
      <c r="AB10" s="282" t="str">
        <f>IF(SUM(AV11:AW11,AZ11:BA11)=0,"",BH11&amp;":"&amp;BI11)</f>
        <v>1:1</v>
      </c>
      <c r="AC10" s="283">
        <f>IF(SUM(BH10:BH12)&gt;0,BJ11,"")</f>
        <v>2</v>
      </c>
      <c r="AD10" s="2"/>
      <c r="AE10" s="22"/>
      <c r="AF10" s="22"/>
      <c r="AG10" s="41" t="s">
        <v>15</v>
      </c>
      <c r="AH10" s="46">
        <f>IF(ISBLANK(S10),"",VLOOKUP(S10,'[1]plan gier'!$X:$AN,12,FALSE))</f>
        <v>21</v>
      </c>
      <c r="AI10" s="47">
        <f>IF(ISBLANK(S10),"",VLOOKUP(S10,'[1]plan gier'!$X:$AN,13,FALSE))</f>
        <v>5</v>
      </c>
      <c r="AJ10" s="47">
        <f>IF(ISBLANK(S10),"",VLOOKUP(S10,'[1]plan gier'!$X:$AN,14,FALSE))</f>
        <v>21</v>
      </c>
      <c r="AK10" s="47">
        <f>IF(ISBLANK(S10),"",VLOOKUP(S10,'[1]plan gier'!$X:$AN,15,FALSE))</f>
        <v>2</v>
      </c>
      <c r="AL10" s="47">
        <f>IF(ISBLANK(S10),"",VLOOKUP(S10,'[1]plan gier'!$X:$AN,16,FALSE))</f>
        <v>0</v>
      </c>
      <c r="AM10" s="47">
        <f>IF(ISBLANK(S10),"",VLOOKUP(S10,'[1]plan gier'!$X:$AN,17,FALSE))</f>
        <v>0</v>
      </c>
      <c r="AN10" s="48">
        <f aca="true" t="shared" si="0" ref="AN10:AS12">IF(AH10="",0,AH10)</f>
        <v>21</v>
      </c>
      <c r="AO10" s="49">
        <f t="shared" si="0"/>
        <v>5</v>
      </c>
      <c r="AP10" s="50">
        <f t="shared" si="0"/>
        <v>21</v>
      </c>
      <c r="AQ10" s="49">
        <f t="shared" si="0"/>
        <v>2</v>
      </c>
      <c r="AR10" s="50">
        <f t="shared" si="0"/>
        <v>0</v>
      </c>
      <c r="AS10" s="49">
        <f t="shared" si="0"/>
        <v>0</v>
      </c>
      <c r="AT10" s="51">
        <f>SUM(AN10:AS10)</f>
        <v>49</v>
      </c>
      <c r="AU10" s="52">
        <v>1</v>
      </c>
      <c r="AV10" s="53"/>
      <c r="AW10" s="54"/>
      <c r="AX10" s="47">
        <f>IF(AH12&gt;AI12,1,0)+IF(AJ12&gt;AK12,1,0)+IF(AL12&gt;AM12,1,0)</f>
        <v>2</v>
      </c>
      <c r="AY10" s="47">
        <f>AV11</f>
        <v>0</v>
      </c>
      <c r="AZ10" s="47">
        <f>IF(AH10&gt;AI10,1,0)+IF(AJ10&gt;AK10,1,0)+IF(AL10&gt;AM10,1,0)</f>
        <v>2</v>
      </c>
      <c r="BA10" s="55">
        <f>AV12</f>
        <v>0</v>
      </c>
      <c r="BD10" s="46">
        <f>AN10+AP10+AR10+AN12+AP12+AR12</f>
        <v>84</v>
      </c>
      <c r="BE10" s="55">
        <f>AO10+AQ10+AS10+AO12+AQ12+AS12</f>
        <v>24</v>
      </c>
      <c r="BF10" s="46">
        <f>AX10+AZ10</f>
        <v>4</v>
      </c>
      <c r="BG10" s="55">
        <f>AY10+BA10</f>
        <v>0</v>
      </c>
      <c r="BH10" s="46">
        <f>IF(AX10&gt;AY10,1,0)+IF(AZ10&gt;BA10,1,0)</f>
        <v>2</v>
      </c>
      <c r="BI10" s="56">
        <f>IF(AY10&gt;AX10,1,0)+IF(BA10&gt;AZ10,1,0)</f>
        <v>0</v>
      </c>
      <c r="BJ10" s="57">
        <f>IF(BH10+BI10=0,"",IF(BK10=MAX(BK10:BK12),1,IF(BK10=MIN(BK10:BK12),3,2)))</f>
        <v>1</v>
      </c>
      <c r="BK10" s="13">
        <f>IF(BH10+BI10&lt;&gt;0,BH10-BI10+(BF10-BG10)/100+(BD10-BE10)/10000,-2)</f>
        <v>2.046</v>
      </c>
    </row>
    <row r="11" spans="1:63" ht="11.25" customHeight="1">
      <c r="A11" s="12">
        <f>S11</f>
        <v>7</v>
      </c>
      <c r="B11" s="2" t="str">
        <f>IF(N11="","",N11)</f>
        <v>P0021</v>
      </c>
      <c r="C11" s="2">
        <f>IF(N12="","",N12)</f>
      </c>
      <c r="D11" s="2" t="str">
        <f>IF(N14="","",N14)</f>
        <v>S0038</v>
      </c>
      <c r="E11" s="2">
        <f>IF(N15="","",N15)</f>
      </c>
      <c r="J11" s="29"/>
      <c r="K11" s="12"/>
      <c r="M11" s="39" t="str">
        <f>N7</f>
        <v>Beginners</v>
      </c>
      <c r="N11" s="30" t="s">
        <v>16</v>
      </c>
      <c r="O11" s="31">
        <f>IF(O6&gt;0,(O6&amp;2)*1,"")</f>
        <v>12</v>
      </c>
      <c r="Q11" s="40">
        <f>IF(AT11&gt;0,"",IF(A11=0,"",IF(VLOOKUP(A11,'[1]plan gier'!A:S,19,FALSE)="","",VLOOKUP(A11,'[1]plan gier'!A:S,19,FALSE))))</f>
      </c>
      <c r="R11" s="41" t="s">
        <v>17</v>
      </c>
      <c r="S11" s="42">
        <v>7</v>
      </c>
      <c r="T11" s="260"/>
      <c r="U11" s="271" t="str">
        <f>IF(AND(N11&lt;&gt;"",N12=""),CONCATENATE(VLOOKUP(N11,'[1]zawodnicy'!$A:$E,1,FALSE)," ",VLOOKUP(N11,'[1]zawodnicy'!$A:$E,2,FALSE)," ",VLOOKUP(N11,'[1]zawodnicy'!$A:$E,3,FALSE)," - ",VLOOKUP(N11,'[1]zawodnicy'!$A:$E,4,FALSE)),"")</f>
        <v>P0021 Mikołaj POLAŃSKI - Rzeszów</v>
      </c>
      <c r="V11" s="272"/>
      <c r="W11" s="58" t="str">
        <f>IF(SUM(AP12:AQ12)=0,"",AQ12&amp;":"&amp;AP12)</f>
        <v>7:21</v>
      </c>
      <c r="X11" s="59"/>
      <c r="Y11" s="34" t="str">
        <f>IF(SUM(AP11:AQ11)=0,"",AP11&amp;":"&amp;AQ11)</f>
        <v>21:7</v>
      </c>
      <c r="Z11" s="260"/>
      <c r="AA11" s="265"/>
      <c r="AB11" s="265"/>
      <c r="AC11" s="268"/>
      <c r="AD11" s="2"/>
      <c r="AE11" s="22"/>
      <c r="AF11" s="22"/>
      <c r="AG11" s="41" t="s">
        <v>17</v>
      </c>
      <c r="AH11" s="60">
        <f>IF(ISBLANK(S11),"",VLOOKUP(S11,'[1]plan gier'!$X:$AN,12,FALSE))</f>
        <v>21</v>
      </c>
      <c r="AI11" s="61">
        <f>IF(ISBLANK(S11),"",VLOOKUP(S11,'[1]plan gier'!$X:$AN,13,FALSE))</f>
        <v>11</v>
      </c>
      <c r="AJ11" s="61">
        <f>IF(ISBLANK(S11),"",VLOOKUP(S11,'[1]plan gier'!$X:$AN,14,FALSE))</f>
        <v>21</v>
      </c>
      <c r="AK11" s="61">
        <f>IF(ISBLANK(S11),"",VLOOKUP(S11,'[1]plan gier'!$X:$AN,15,FALSE))</f>
        <v>7</v>
      </c>
      <c r="AL11" s="61">
        <f>IF(ISBLANK(S11),"",VLOOKUP(S11,'[1]plan gier'!$X:$AN,16,FALSE))</f>
        <v>0</v>
      </c>
      <c r="AM11" s="61">
        <f>IF(ISBLANK(S11),"",VLOOKUP(S11,'[1]plan gier'!$X:$AN,17,FALSE))</f>
        <v>0</v>
      </c>
      <c r="AN11" s="62">
        <f t="shared" si="0"/>
        <v>21</v>
      </c>
      <c r="AO11" s="61">
        <f t="shared" si="0"/>
        <v>11</v>
      </c>
      <c r="AP11" s="63">
        <f t="shared" si="0"/>
        <v>21</v>
      </c>
      <c r="AQ11" s="61">
        <f t="shared" si="0"/>
        <v>7</v>
      </c>
      <c r="AR11" s="63">
        <f t="shared" si="0"/>
        <v>0</v>
      </c>
      <c r="AS11" s="61">
        <f t="shared" si="0"/>
        <v>0</v>
      </c>
      <c r="AT11" s="51">
        <f>SUM(AN11:AS11)</f>
        <v>60</v>
      </c>
      <c r="AU11" s="52">
        <v>2</v>
      </c>
      <c r="AV11" s="60">
        <f>IF(AH12&lt;AI12,1,0)+IF(AJ12&lt;AK12,1,0)+IF(AL12&lt;AM12,1,0)</f>
        <v>0</v>
      </c>
      <c r="AW11" s="61">
        <f>AX10</f>
        <v>2</v>
      </c>
      <c r="AX11" s="64"/>
      <c r="AY11" s="65"/>
      <c r="AZ11" s="61">
        <f>IF(AH11&gt;AI11,1,0)+IF(AJ11&gt;AK11,1,0)+IF(AL11&gt;AM11,1,0)</f>
        <v>2</v>
      </c>
      <c r="BA11" s="66">
        <f>AX12</f>
        <v>0</v>
      </c>
      <c r="BD11" s="60">
        <f>AN11+AP11+AR11+AO12+AQ12+AS12</f>
        <v>59</v>
      </c>
      <c r="BE11" s="66">
        <f>AO11+AQ11+AS11+AN12+AP12+AR12</f>
        <v>60</v>
      </c>
      <c r="BF11" s="60">
        <f>AV11+AZ11</f>
        <v>2</v>
      </c>
      <c r="BG11" s="66">
        <f>AW11+BA11</f>
        <v>2</v>
      </c>
      <c r="BH11" s="60">
        <f>IF(AV11&gt;AW11,1,0)+IF(AZ11&gt;BA11,1,0)</f>
        <v>1</v>
      </c>
      <c r="BI11" s="67">
        <f>IF(AW11&gt;AV11,1,0)+IF(BA11&gt;AZ11,1,0)</f>
        <v>1</v>
      </c>
      <c r="BJ11" s="68">
        <f>IF(BH11+BI11=0,"",IF(BK11=MAX(BK10:BK12),1,IF(BK11=MIN(BK10:BK12),3,2)))</f>
        <v>2</v>
      </c>
      <c r="BK11" s="13">
        <f>IF(BH11+BI11&lt;&gt;0,BH11-BI11+(BF11-BG11)/100+(BD11-BE11)/10000,-2)</f>
        <v>-0.0001</v>
      </c>
    </row>
    <row r="12" spans="1:63" ht="11.25" customHeight="1" thickBot="1">
      <c r="A12" s="12">
        <f>S12</f>
        <v>13</v>
      </c>
      <c r="B12" s="2" t="str">
        <f>IF(N8="","",N8)</f>
        <v>M0026</v>
      </c>
      <c r="C12" s="2">
        <f>IF(N9="","",N9)</f>
      </c>
      <c r="D12" s="2" t="str">
        <f>IF(N11="","",N11)</f>
        <v>P0021</v>
      </c>
      <c r="E12" s="2">
        <f>IF(N12="","",N12)</f>
      </c>
      <c r="I12" s="2" t="str">
        <f>"3"&amp;O6&amp;N7</f>
        <v>31Beginners</v>
      </c>
      <c r="J12" s="29" t="str">
        <f>IF(AC13="","",IF(AC7=3,N8,IF(AC10=3,N11,IF(AC13=3,N14,""))))</f>
        <v>S0038</v>
      </c>
      <c r="K12" s="29">
        <f>IF(AC13="","",IF(AC7=3,N9,IF(AC10=3,N12,IF(AC13=3,N15,""))))</f>
        <v>0</v>
      </c>
      <c r="M12" s="39" t="str">
        <f>N7</f>
        <v>Beginners</v>
      </c>
      <c r="N12" s="35"/>
      <c r="O12" s="23"/>
      <c r="P12" s="23"/>
      <c r="Q12" s="40">
        <f>IF(AT12&gt;0,"",IF(A12=0,"",IF(VLOOKUP(A12,'[1]plan gier'!A:S,19,FALSE)="","",VLOOKUP(A12,'[1]plan gier'!A:S,19,FALSE))))</f>
      </c>
      <c r="R12" s="69" t="s">
        <v>18</v>
      </c>
      <c r="S12" s="42">
        <v>13</v>
      </c>
      <c r="T12" s="261"/>
      <c r="U12" s="273">
        <f>IF(N12&lt;&gt;"",CONCATENATE(VLOOKUP(N12,'[1]zawodnicy'!$A:$E,1,FALSE)," ",VLOOKUP(N12,'[1]zawodnicy'!$A:$E,2,FALSE)," ",VLOOKUP(N12,'[1]zawodnicy'!$A:$E,3,FALSE)," - ",VLOOKUP(N12,'[1]zawodnicy'!$A:$E,4,FALSE)),"")</f>
      </c>
      <c r="V12" s="274"/>
      <c r="W12" s="70">
        <f>IF(SUM(AR12:AS12)=0,"",AS12&amp;":"&amp;AR12)</f>
      </c>
      <c r="X12" s="59"/>
      <c r="Y12" s="37">
        <f>IF(SUM(AR11:AS11)=0,"",AR11&amp;":"&amp;AS11)</f>
      </c>
      <c r="Z12" s="261"/>
      <c r="AA12" s="266"/>
      <c r="AB12" s="266"/>
      <c r="AC12" s="269"/>
      <c r="AD12" s="2"/>
      <c r="AE12" s="22"/>
      <c r="AF12" s="22"/>
      <c r="AG12" s="69" t="s">
        <v>18</v>
      </c>
      <c r="AH12" s="71">
        <f>IF(ISBLANK(S12),"",VLOOKUP(S12,'[1]plan gier'!$X:$AN,12,FALSE))</f>
        <v>21</v>
      </c>
      <c r="AI12" s="72">
        <f>IF(ISBLANK(S12),"",VLOOKUP(S12,'[1]plan gier'!$X:$AN,13,FALSE))</f>
        <v>10</v>
      </c>
      <c r="AJ12" s="72">
        <f>IF(ISBLANK(S12),"",VLOOKUP(S12,'[1]plan gier'!$X:$AN,14,FALSE))</f>
        <v>21</v>
      </c>
      <c r="AK12" s="72">
        <f>IF(ISBLANK(S12),"",VLOOKUP(S12,'[1]plan gier'!$X:$AN,15,FALSE))</f>
        <v>7</v>
      </c>
      <c r="AL12" s="72">
        <f>IF(ISBLANK(S12),"",VLOOKUP(S12,'[1]plan gier'!$X:$AN,16,FALSE))</f>
        <v>0</v>
      </c>
      <c r="AM12" s="72">
        <f>IF(ISBLANK(S12),"",VLOOKUP(S12,'[1]plan gier'!$X:$AN,17,FALSE))</f>
        <v>0</v>
      </c>
      <c r="AN12" s="73">
        <f t="shared" si="0"/>
        <v>21</v>
      </c>
      <c r="AO12" s="72">
        <f t="shared" si="0"/>
        <v>10</v>
      </c>
      <c r="AP12" s="74">
        <f t="shared" si="0"/>
        <v>21</v>
      </c>
      <c r="AQ12" s="72">
        <f t="shared" si="0"/>
        <v>7</v>
      </c>
      <c r="AR12" s="74">
        <f t="shared" si="0"/>
        <v>0</v>
      </c>
      <c r="AS12" s="72">
        <f t="shared" si="0"/>
        <v>0</v>
      </c>
      <c r="AT12" s="51">
        <f>SUM(AN12:AS12)</f>
        <v>59</v>
      </c>
      <c r="AU12" s="52">
        <v>3</v>
      </c>
      <c r="AV12" s="71">
        <f>IF(AH10&lt;AI10,1,0)+IF(AJ10&lt;AK10,1,0)+IF(AL10&lt;AM10,1,0)</f>
        <v>0</v>
      </c>
      <c r="AW12" s="72">
        <f>AZ10</f>
        <v>2</v>
      </c>
      <c r="AX12" s="72">
        <f>IF(AH11&lt;AI11,1,0)+IF(AJ11&lt;AK11,1,0)+IF(AL11&lt;AM11,1,0)</f>
        <v>0</v>
      </c>
      <c r="AY12" s="72">
        <f>AZ11</f>
        <v>2</v>
      </c>
      <c r="AZ12" s="75"/>
      <c r="BA12" s="76"/>
      <c r="BD12" s="71">
        <f>AO10+AQ10+AS10+AO11+AQ11+AS11</f>
        <v>25</v>
      </c>
      <c r="BE12" s="77">
        <f>AN10+AP10+AR10+AN11+AP11+AR11</f>
        <v>84</v>
      </c>
      <c r="BF12" s="71">
        <f>AV12+AX12</f>
        <v>0</v>
      </c>
      <c r="BG12" s="77">
        <f>AW12+AY12</f>
        <v>4</v>
      </c>
      <c r="BH12" s="71">
        <f>IF(AV12&gt;AW12,1,0)+IF(AX12&gt;AY12,1,0)</f>
        <v>0</v>
      </c>
      <c r="BI12" s="78">
        <f>IF(AW12&gt;AV12,1,0)+IF(AY12&gt;AX12,1,0)</f>
        <v>2</v>
      </c>
      <c r="BJ12" s="79">
        <f>IF(BH12+BI12=0,"",IF(BK12=MAX(BK10:BK12),1,IF(BK12=MIN(BK10:BK12),3,2)))</f>
        <v>3</v>
      </c>
      <c r="BK12" s="13">
        <f>IF(BH12+BI12&lt;&gt;0,BH12-BI12+(BF12-BG12)/100+(BD12-BE12)/10000,-2)</f>
        <v>-2.0459</v>
      </c>
    </row>
    <row r="13" spans="1:59" ht="11.25" customHeight="1">
      <c r="A13" s="2"/>
      <c r="J13" s="23"/>
      <c r="K13" s="23"/>
      <c r="L13" s="23"/>
      <c r="O13" s="23"/>
      <c r="P13" s="23"/>
      <c r="Q13" s="2"/>
      <c r="R13" s="2"/>
      <c r="S13" s="2"/>
      <c r="T13" s="279">
        <v>3</v>
      </c>
      <c r="U13" s="280">
        <f>IF(AND(N14&lt;&gt;"",N15&lt;&gt;""),CONCATENATE(VLOOKUP(N14,'[1]zawodnicy'!$A:$E,1,FALSE)," ",VLOOKUP(N14,'[1]zawodnicy'!$A:$E,2,FALSE)," ",VLOOKUP(N14,'[1]zawodnicy'!$A:$E,3,FALSE)," - ",VLOOKUP(N14,'[1]zawodnicy'!$A:$E,4,FALSE)),"")</f>
      </c>
      <c r="V13" s="281"/>
      <c r="W13" s="43" t="str">
        <f>IF(SUM(AN10:AO10)=0,"",AO10&amp;":"&amp;AN10)</f>
        <v>5:21</v>
      </c>
      <c r="X13" s="80" t="str">
        <f>IF(SUM(AN11:AO11)=0,"",AO11&amp;":"&amp;AN11)</f>
        <v>11:21</v>
      </c>
      <c r="Y13" s="81"/>
      <c r="Z13" s="279" t="str">
        <f>IF(SUM(AV12:AY12)=0,"",BD12&amp;":"&amp;BE12)</f>
        <v>25:84</v>
      </c>
      <c r="AA13" s="282" t="str">
        <f>IF(SUM(AV12:AY12)=0,"",BF12&amp;":"&amp;BG12)</f>
        <v>0:4</v>
      </c>
      <c r="AB13" s="282" t="str">
        <f>IF(SUM(AV12:AY12)=0,"",BH12&amp;":"&amp;BI12)</f>
        <v>0:2</v>
      </c>
      <c r="AC13" s="283">
        <f>IF(SUM(BH10:BH12)&gt;0,BJ12,"")</f>
        <v>3</v>
      </c>
      <c r="AD13" s="2"/>
      <c r="AE13" s="22"/>
      <c r="AF13" s="22"/>
      <c r="BD13" s="12">
        <f>SUM(BD10:BD12)</f>
        <v>168</v>
      </c>
      <c r="BE13" s="12">
        <f>SUM(BE10:BE12)</f>
        <v>168</v>
      </c>
      <c r="BF13" s="12">
        <f>SUM(BF10:BF12)</f>
        <v>6</v>
      </c>
      <c r="BG13" s="12">
        <f>SUM(BG10:BG12)</f>
        <v>6</v>
      </c>
    </row>
    <row r="14" spans="1:63" ht="11.25" customHeight="1">
      <c r="A14" s="12"/>
      <c r="J14" s="12"/>
      <c r="K14" s="12"/>
      <c r="L14" s="12"/>
      <c r="N14" s="30" t="s">
        <v>19</v>
      </c>
      <c r="O14" s="31">
        <f>IF(O6&gt;0,(O6&amp;3)*1,"")</f>
        <v>13</v>
      </c>
      <c r="Q14" s="82"/>
      <c r="R14" s="82"/>
      <c r="S14" s="42"/>
      <c r="T14" s="260"/>
      <c r="U14" s="271" t="str">
        <f>IF(AND(N14&lt;&gt;"",N15=""),CONCATENATE(VLOOKUP(N14,'[1]zawodnicy'!$A:$E,1,FALSE)," ",VLOOKUP(N14,'[1]zawodnicy'!$A:$E,2,FALSE)," ",VLOOKUP(N14,'[1]zawodnicy'!$A:$E,3,FALSE)," - ",VLOOKUP(N14,'[1]zawodnicy'!$A:$E,4,FALSE)),"")</f>
        <v>S0038 Kamila SZEWC - Żupawa</v>
      </c>
      <c r="V14" s="272"/>
      <c r="W14" s="58" t="str">
        <f>IF(SUM(AP10:AQ10)=0,"",AQ10&amp;":"&amp;AP10)</f>
        <v>2:21</v>
      </c>
      <c r="X14" s="33" t="str">
        <f>IF(SUM(AP11:AQ11)=0,"",AQ11&amp;":"&amp;AP11)</f>
        <v>7:21</v>
      </c>
      <c r="Y14" s="83"/>
      <c r="Z14" s="260"/>
      <c r="AA14" s="265"/>
      <c r="AB14" s="265"/>
      <c r="AC14" s="268"/>
      <c r="AD14" s="2"/>
      <c r="AE14" s="22"/>
      <c r="AF14" s="2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1.25" customHeight="1" thickBot="1">
      <c r="A15" s="2"/>
      <c r="J15" s="23"/>
      <c r="K15" s="23"/>
      <c r="L15" s="23"/>
      <c r="N15" s="35"/>
      <c r="O15" s="23"/>
      <c r="P15" s="23"/>
      <c r="Q15" s="2"/>
      <c r="R15" s="2"/>
      <c r="S15" s="2"/>
      <c r="T15" s="284"/>
      <c r="U15" s="287">
        <f>IF(N15&lt;&gt;"",CONCATENATE(VLOOKUP(N15,'[1]zawodnicy'!$A:$E,1,FALSE)," ",VLOOKUP(N15,'[1]zawodnicy'!$A:$E,2,FALSE)," ",VLOOKUP(N15,'[1]zawodnicy'!$A:$E,3,FALSE)," - ",VLOOKUP(N15,'[1]zawodnicy'!$A:$E,4,FALSE)),"")</f>
      </c>
      <c r="V15" s="288"/>
      <c r="W15" s="84">
        <f>IF(SUM(AR10:AS10)=0,"",AS10&amp;":"&amp;AR10)</f>
      </c>
      <c r="X15" s="85">
        <f>IF(SUM(AR11:AS11)=0,"",AS11&amp;":"&amp;AR11)</f>
      </c>
      <c r="Y15" s="86"/>
      <c r="Z15" s="284"/>
      <c r="AA15" s="285"/>
      <c r="AB15" s="285"/>
      <c r="AC15" s="286"/>
      <c r="AD15" s="29"/>
      <c r="AE15" s="22"/>
      <c r="AF15" s="2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0:63" ht="12" customHeight="1" thickBot="1">
      <c r="J16" s="3"/>
      <c r="K16" s="3"/>
      <c r="L16" s="3"/>
      <c r="N16" s="4"/>
      <c r="O16" s="3"/>
      <c r="P16" s="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7"/>
    </row>
    <row r="17" spans="14:32" ht="11.25" customHeight="1" thickBot="1">
      <c r="N17" s="8"/>
      <c r="O17" s="14">
        <v>2</v>
      </c>
      <c r="Q17" s="253" t="str">
        <f>"Grupa "&amp;O17&amp;"."</f>
        <v>Grupa 2.</v>
      </c>
      <c r="R17" s="253"/>
      <c r="S17" s="254"/>
      <c r="T17" s="15" t="s">
        <v>1</v>
      </c>
      <c r="U17" s="255" t="s">
        <v>2</v>
      </c>
      <c r="V17" s="256"/>
      <c r="W17" s="15">
        <v>1</v>
      </c>
      <c r="X17" s="17">
        <v>2</v>
      </c>
      <c r="Y17" s="18">
        <v>3</v>
      </c>
      <c r="Z17" s="19" t="s">
        <v>3</v>
      </c>
      <c r="AA17" s="20" t="s">
        <v>4</v>
      </c>
      <c r="AB17" s="20" t="s">
        <v>5</v>
      </c>
      <c r="AC17" s="21" t="s">
        <v>6</v>
      </c>
      <c r="AD17" s="2"/>
      <c r="AE17" s="22"/>
      <c r="AF17" s="22"/>
    </row>
    <row r="18" spans="10:45" ht="11.25" customHeight="1">
      <c r="J18" s="23"/>
      <c r="K18" s="23"/>
      <c r="L18" s="23"/>
      <c r="N18" s="24" t="s">
        <v>0</v>
      </c>
      <c r="Q18" s="257" t="s">
        <v>7</v>
      </c>
      <c r="R18" s="257"/>
      <c r="S18" s="258" t="s">
        <v>8</v>
      </c>
      <c r="T18" s="259">
        <v>1</v>
      </c>
      <c r="U18" s="262">
        <f>IF(AND(N19&lt;&gt;"",N20&lt;&gt;""),CONCATENATE(VLOOKUP(N19,'[1]zawodnicy'!$A:$E,1,FALSE)," ",VLOOKUP(N19,'[1]zawodnicy'!$A:$E,2,FALSE)," ",VLOOKUP(N19,'[1]zawodnicy'!$A:$E,3,FALSE)," - ",VLOOKUP(N19,'[1]zawodnicy'!$A:$E,4,FALSE)),"")</f>
      </c>
      <c r="V18" s="263"/>
      <c r="W18" s="25"/>
      <c r="X18" s="26" t="str">
        <f>IF(SUM(AN23:AO23)=0,"",AN23&amp;":"&amp;AO23)</f>
        <v>16:21</v>
      </c>
      <c r="Y18" s="27" t="str">
        <f>IF(SUM(AN21:AO21)=0,"",AN21&amp;":"&amp;AO21)</f>
        <v>21:7</v>
      </c>
      <c r="Z18" s="259" t="str">
        <f>IF(SUM(AX21:BA21)=0,"",BD21&amp;":"&amp;BE21)</f>
        <v>100:77</v>
      </c>
      <c r="AA18" s="264" t="str">
        <f>IF(SUM(AX21:BA21)=0,"",BF21&amp;":"&amp;BG21)</f>
        <v>4:1</v>
      </c>
      <c r="AB18" s="264" t="str">
        <f>IF(SUM(AX21:BA21)=0,"",BH21&amp;":"&amp;BI21)</f>
        <v>2:0</v>
      </c>
      <c r="AC18" s="267">
        <f>IF(SUM(BH21:BH23)&gt;0,BJ21,"")</f>
        <v>1</v>
      </c>
      <c r="AD18" s="2"/>
      <c r="AE18" s="22"/>
      <c r="AF18" s="22"/>
      <c r="AG18" s="28"/>
      <c r="AH18" s="270" t="s">
        <v>9</v>
      </c>
      <c r="AI18" s="270"/>
      <c r="AJ18" s="270"/>
      <c r="AK18" s="270"/>
      <c r="AL18" s="270"/>
      <c r="AM18" s="270"/>
      <c r="AN18" s="270" t="s">
        <v>10</v>
      </c>
      <c r="AO18" s="270"/>
      <c r="AP18" s="270"/>
      <c r="AQ18" s="270"/>
      <c r="AR18" s="270"/>
      <c r="AS18" s="270"/>
    </row>
    <row r="19" spans="9:59" ht="11.25" customHeight="1" thickBot="1">
      <c r="I19" s="2" t="str">
        <f>"1"&amp;O17&amp;N18</f>
        <v>12Beginners</v>
      </c>
      <c r="J19" s="29" t="str">
        <f>IF(AC18="","",IF(AC18=1,N19,IF(AC21=1,N22,IF(AC24=1,N25,""))))</f>
        <v>W0013</v>
      </c>
      <c r="K19" s="29">
        <f>IF(AC18="","",IF(AC18=1,N20,IF(AC21=1,N23,IF(AC24=1,N26,""))))</f>
        <v>0</v>
      </c>
      <c r="L19" s="29"/>
      <c r="N19" s="30" t="s">
        <v>20</v>
      </c>
      <c r="O19" s="31">
        <f>IF(O17&gt;0,(O17&amp;1)*1,"")</f>
        <v>21</v>
      </c>
      <c r="Q19" s="257"/>
      <c r="R19" s="257"/>
      <c r="S19" s="258"/>
      <c r="T19" s="260"/>
      <c r="U19" s="271" t="str">
        <f>IF(AND(N19&lt;&gt;"",N20=""),CONCATENATE(VLOOKUP(N19,'[1]zawodnicy'!$A:$E,1,FALSE)," ",VLOOKUP(N19,'[1]zawodnicy'!$A:$E,2,FALSE)," ",VLOOKUP(N19,'[1]zawodnicy'!$A:$E,3,FALSE)," - ",VLOOKUP(N19,'[1]zawodnicy'!$A:$E,4,FALSE)),"")</f>
        <v>W0013 Olaf WARNECKI - Rzeszów</v>
      </c>
      <c r="V19" s="272"/>
      <c r="W19" s="32"/>
      <c r="X19" s="33" t="str">
        <f>IF(SUM(AP23:AQ23)=0,"",AP23&amp;":"&amp;AQ23)</f>
        <v>21:19</v>
      </c>
      <c r="Y19" s="34" t="str">
        <f>IF(SUM(AP21:AQ21)=0,"",AP21&amp;":"&amp;AQ21)</f>
        <v>21:12</v>
      </c>
      <c r="Z19" s="260"/>
      <c r="AA19" s="265"/>
      <c r="AB19" s="265"/>
      <c r="AC19" s="268"/>
      <c r="AD19" s="2"/>
      <c r="AE19" s="22"/>
      <c r="AF19" s="22"/>
      <c r="AG19" s="28"/>
      <c r="BD19" s="12">
        <f>SUM(BD21:BD23)</f>
        <v>232</v>
      </c>
      <c r="BE19" s="12">
        <f>SUM(BE21:BE23)</f>
        <v>232</v>
      </c>
      <c r="BF19" s="12">
        <f>SUM(BF21:BF23)</f>
        <v>7</v>
      </c>
      <c r="BG19" s="12">
        <f>SUM(BG21:BG23)</f>
        <v>7</v>
      </c>
    </row>
    <row r="20" spans="10:63" ht="11.25" customHeight="1" thickBot="1">
      <c r="J20" s="29"/>
      <c r="K20" s="23"/>
      <c r="L20" s="23"/>
      <c r="N20" s="35"/>
      <c r="O20" s="23"/>
      <c r="P20" s="23"/>
      <c r="Q20" s="257"/>
      <c r="R20" s="257"/>
      <c r="S20" s="258"/>
      <c r="T20" s="261"/>
      <c r="U20" s="273">
        <f>IF(N20&lt;&gt;"",CONCATENATE(VLOOKUP(N20,'[1]zawodnicy'!$A:$E,1,FALSE)," ",VLOOKUP(N20,'[1]zawodnicy'!$A:$E,2,FALSE)," ",VLOOKUP(N20,'[1]zawodnicy'!$A:$E,3,FALSE)," - ",VLOOKUP(N20,'[1]zawodnicy'!$A:$E,4,FALSE)),"")</f>
      </c>
      <c r="V20" s="274"/>
      <c r="W20" s="32"/>
      <c r="X20" s="36" t="str">
        <f>IF(SUM(AR23:AS23)=0,"",AR23&amp;":"&amp;AS23)</f>
        <v>21:18</v>
      </c>
      <c r="Y20" s="37">
        <f>IF(SUM(AR21:AS21)=0,"",AR21&amp;":"&amp;AS21)</f>
      </c>
      <c r="Z20" s="261"/>
      <c r="AA20" s="266"/>
      <c r="AB20" s="266"/>
      <c r="AC20" s="269"/>
      <c r="AD20" s="2"/>
      <c r="AE20" s="22"/>
      <c r="AF20" s="22"/>
      <c r="AG20" s="28"/>
      <c r="AH20" s="275" t="s">
        <v>12</v>
      </c>
      <c r="AI20" s="276"/>
      <c r="AJ20" s="277" t="s">
        <v>13</v>
      </c>
      <c r="AK20" s="276"/>
      <c r="AL20" s="277" t="s">
        <v>14</v>
      </c>
      <c r="AM20" s="278"/>
      <c r="AN20" s="275" t="s">
        <v>12</v>
      </c>
      <c r="AO20" s="276"/>
      <c r="AP20" s="277" t="s">
        <v>13</v>
      </c>
      <c r="AQ20" s="276"/>
      <c r="AR20" s="277" t="s">
        <v>14</v>
      </c>
      <c r="AS20" s="276"/>
      <c r="AT20" s="22"/>
      <c r="AU20" s="22"/>
      <c r="AV20" s="275">
        <v>1</v>
      </c>
      <c r="AW20" s="276"/>
      <c r="AX20" s="277">
        <v>2</v>
      </c>
      <c r="AY20" s="276"/>
      <c r="AZ20" s="277">
        <v>3</v>
      </c>
      <c r="BA20" s="278"/>
      <c r="BD20" s="275" t="s">
        <v>3</v>
      </c>
      <c r="BE20" s="278"/>
      <c r="BF20" s="275" t="s">
        <v>4</v>
      </c>
      <c r="BG20" s="278"/>
      <c r="BH20" s="275" t="s">
        <v>5</v>
      </c>
      <c r="BI20" s="278"/>
      <c r="BJ20" s="38" t="s">
        <v>6</v>
      </c>
      <c r="BK20" s="13">
        <f>SUM(BK21:BK23)</f>
        <v>0</v>
      </c>
    </row>
    <row r="21" spans="1:63" ht="11.25" customHeight="1">
      <c r="A21" s="12">
        <f>S21</f>
        <v>2</v>
      </c>
      <c r="B21" s="2" t="str">
        <f>IF(N19="","",N19)</f>
        <v>W0013</v>
      </c>
      <c r="C21" s="2">
        <f>IF(N20="","",N20)</f>
      </c>
      <c r="D21" s="2" t="str">
        <f>IF(N25="","",N25)</f>
        <v>Z0006</v>
      </c>
      <c r="E21" s="2">
        <f>IF(N26="","",N26)</f>
      </c>
      <c r="I21" s="2" t="str">
        <f>"2"&amp;O17&amp;N18</f>
        <v>22Beginners</v>
      </c>
      <c r="J21" s="29" t="str">
        <f>IF(AC21="","",IF(AC18=2,N19,IF(AC21=2,N22,IF(AC24=2,N25,""))))</f>
        <v>R0017</v>
      </c>
      <c r="K21" s="29">
        <f>IF(AC21="","",IF(AC18=2,N20,IF(AC21=2,N23,IF(AC24=2,N26,""))))</f>
        <v>0</v>
      </c>
      <c r="M21" s="39" t="str">
        <f>N18</f>
        <v>Beginners</v>
      </c>
      <c r="O21" s="23"/>
      <c r="P21" s="23"/>
      <c r="Q21" s="40">
        <f>IF(AT21&gt;0,"",IF(A21=0,"",IF(VLOOKUP(A21,'[1]plan gier'!A:S,19,FALSE)="","",VLOOKUP(A21,'[1]plan gier'!A:S,19,FALSE))))</f>
      </c>
      <c r="R21" s="41" t="s">
        <v>15</v>
      </c>
      <c r="S21" s="42">
        <v>2</v>
      </c>
      <c r="T21" s="279">
        <v>2</v>
      </c>
      <c r="U21" s="280">
        <f>IF(AND(N22&lt;&gt;"",N23&lt;&gt;""),CONCATENATE(VLOOKUP(N22,'[1]zawodnicy'!$A:$E,1,FALSE)," ",VLOOKUP(N22,'[1]zawodnicy'!$A:$E,2,FALSE)," ",VLOOKUP(N22,'[1]zawodnicy'!$A:$E,3,FALSE)," - ",VLOOKUP(N22,'[1]zawodnicy'!$A:$E,4,FALSE)),"")</f>
      </c>
      <c r="V21" s="281"/>
      <c r="W21" s="43" t="str">
        <f>IF(SUM(AN23:AO23)=0,"",AO23&amp;":"&amp;AN23)</f>
        <v>21:16</v>
      </c>
      <c r="X21" s="44"/>
      <c r="Y21" s="45" t="str">
        <f>IF(SUM(AN22:AO22)=0,"",AN22&amp;":"&amp;AO22)</f>
        <v>21:9</v>
      </c>
      <c r="Z21" s="279" t="str">
        <f>IF(SUM(AV22:AW22,AZ22:BA22)=0,"",BD22&amp;":"&amp;BE22)</f>
        <v>100:71</v>
      </c>
      <c r="AA21" s="282" t="str">
        <f>IF(SUM(AV22:AW22,AZ22:BA22)=0,"",BF22&amp;":"&amp;BG22)</f>
        <v>3:2</v>
      </c>
      <c r="AB21" s="282" t="str">
        <f>IF(SUM(AV22:AW22,AZ22:BA22)=0,"",BH22&amp;":"&amp;BI22)</f>
        <v>1:1</v>
      </c>
      <c r="AC21" s="283">
        <f>IF(SUM(BH21:BH23)&gt;0,BJ22,"")</f>
        <v>2</v>
      </c>
      <c r="AD21" s="2"/>
      <c r="AE21" s="22"/>
      <c r="AF21" s="22"/>
      <c r="AG21" s="41" t="s">
        <v>15</v>
      </c>
      <c r="AH21" s="46">
        <f>IF(ISBLANK(S21),"",VLOOKUP(S21,'[1]plan gier'!$X:$AN,12,FALSE))</f>
        <v>21</v>
      </c>
      <c r="AI21" s="47">
        <f>IF(ISBLANK(S21),"",VLOOKUP(S21,'[1]plan gier'!$X:$AN,13,FALSE))</f>
        <v>7</v>
      </c>
      <c r="AJ21" s="47">
        <f>IF(ISBLANK(S21),"",VLOOKUP(S21,'[1]plan gier'!$X:$AN,14,FALSE))</f>
        <v>21</v>
      </c>
      <c r="AK21" s="47">
        <f>IF(ISBLANK(S21),"",VLOOKUP(S21,'[1]plan gier'!$X:$AN,15,FALSE))</f>
        <v>12</v>
      </c>
      <c r="AL21" s="47">
        <f>IF(ISBLANK(S21),"",VLOOKUP(S21,'[1]plan gier'!$X:$AN,16,FALSE))</f>
        <v>0</v>
      </c>
      <c r="AM21" s="47">
        <f>IF(ISBLANK(S21),"",VLOOKUP(S21,'[1]plan gier'!$X:$AN,17,FALSE))</f>
        <v>0</v>
      </c>
      <c r="AN21" s="48">
        <f aca="true" t="shared" si="1" ref="AN21:AS23">IF(AH21="",0,AH21)</f>
        <v>21</v>
      </c>
      <c r="AO21" s="49">
        <f t="shared" si="1"/>
        <v>7</v>
      </c>
      <c r="AP21" s="50">
        <f t="shared" si="1"/>
        <v>21</v>
      </c>
      <c r="AQ21" s="49">
        <f t="shared" si="1"/>
        <v>12</v>
      </c>
      <c r="AR21" s="50">
        <f t="shared" si="1"/>
        <v>0</v>
      </c>
      <c r="AS21" s="49">
        <f t="shared" si="1"/>
        <v>0</v>
      </c>
      <c r="AT21" s="51">
        <f>SUM(AN21:AS21)</f>
        <v>61</v>
      </c>
      <c r="AU21" s="52">
        <v>1</v>
      </c>
      <c r="AV21" s="53"/>
      <c r="AW21" s="54"/>
      <c r="AX21" s="47">
        <f>IF(AH23&gt;AI23,1,0)+IF(AJ23&gt;AK23,1,0)+IF(AL23&gt;AM23,1,0)</f>
        <v>2</v>
      </c>
      <c r="AY21" s="47">
        <f>AV22</f>
        <v>1</v>
      </c>
      <c r="AZ21" s="47">
        <f>IF(AH21&gt;AI21,1,0)+IF(AJ21&gt;AK21,1,0)+IF(AL21&gt;AM21,1,0)</f>
        <v>2</v>
      </c>
      <c r="BA21" s="55">
        <f>AV23</f>
        <v>0</v>
      </c>
      <c r="BD21" s="46">
        <f>AN21+AP21+AR21+AN23+AP23+AR23</f>
        <v>100</v>
      </c>
      <c r="BE21" s="55">
        <f>AO21+AQ21+AS21+AO23+AQ23+AS23</f>
        <v>77</v>
      </c>
      <c r="BF21" s="46">
        <f>AX21+AZ21</f>
        <v>4</v>
      </c>
      <c r="BG21" s="55">
        <f>AY21+BA21</f>
        <v>1</v>
      </c>
      <c r="BH21" s="46">
        <f>IF(AX21&gt;AY21,1,0)+IF(AZ21&gt;BA21,1,0)</f>
        <v>2</v>
      </c>
      <c r="BI21" s="56">
        <f>IF(AY21&gt;AX21,1,0)+IF(BA21&gt;AZ21,1,0)</f>
        <v>0</v>
      </c>
      <c r="BJ21" s="57">
        <f>IF(BH21+BI21=0,"",IF(BK21=MAX(BK21:BK23),1,IF(BK21=MIN(BK21:BK23),3,2)))</f>
        <v>1</v>
      </c>
      <c r="BK21" s="13">
        <f>IF(BH21+BI21&lt;&gt;0,BH21-BI21+(BF21-BG21)/100+(BD21-BE21)/10000,-2)</f>
        <v>2.0322999999999998</v>
      </c>
    </row>
    <row r="22" spans="1:63" ht="11.25" customHeight="1">
      <c r="A22" s="12">
        <f>S22</f>
        <v>8</v>
      </c>
      <c r="B22" s="2" t="str">
        <f>IF(N22="","",N22)</f>
        <v>R0017</v>
      </c>
      <c r="C22" s="2">
        <f>IF(N23="","",N23)</f>
      </c>
      <c r="D22" s="2" t="str">
        <f>IF(N25="","",N25)</f>
        <v>Z0006</v>
      </c>
      <c r="E22" s="2">
        <f>IF(N26="","",N26)</f>
      </c>
      <c r="J22" s="29"/>
      <c r="K22" s="12"/>
      <c r="M22" s="39" t="str">
        <f>N18</f>
        <v>Beginners</v>
      </c>
      <c r="N22" s="30" t="s">
        <v>21</v>
      </c>
      <c r="O22" s="31">
        <f>IF(O17&gt;0,(O17&amp;2)*1,"")</f>
        <v>22</v>
      </c>
      <c r="Q22" s="40">
        <f>IF(AT22&gt;0,"",IF(A22=0,"",IF(VLOOKUP(A22,'[1]plan gier'!A:S,19,FALSE)="","",VLOOKUP(A22,'[1]plan gier'!A:S,19,FALSE))))</f>
      </c>
      <c r="R22" s="41" t="s">
        <v>17</v>
      </c>
      <c r="S22" s="42">
        <v>8</v>
      </c>
      <c r="T22" s="260"/>
      <c r="U22" s="271" t="str">
        <f>IF(AND(N22&lt;&gt;"",N23=""),CONCATENATE(VLOOKUP(N22,'[1]zawodnicy'!$A:$E,1,FALSE)," ",VLOOKUP(N22,'[1]zawodnicy'!$A:$E,2,FALSE)," ",VLOOKUP(N22,'[1]zawodnicy'!$A:$E,3,FALSE)," - ",VLOOKUP(N22,'[1]zawodnicy'!$A:$E,4,FALSE)),"")</f>
        <v>R0017 Patryk RUSIN - Mielec</v>
      </c>
      <c r="V22" s="272"/>
      <c r="W22" s="58" t="str">
        <f>IF(SUM(AP23:AQ23)=0,"",AQ23&amp;":"&amp;AP23)</f>
        <v>19:21</v>
      </c>
      <c r="X22" s="59"/>
      <c r="Y22" s="34" t="str">
        <f>IF(SUM(AP22:AQ22)=0,"",AP22&amp;":"&amp;AQ22)</f>
        <v>21:4</v>
      </c>
      <c r="Z22" s="260"/>
      <c r="AA22" s="265"/>
      <c r="AB22" s="265"/>
      <c r="AC22" s="268"/>
      <c r="AD22" s="2"/>
      <c r="AE22" s="22"/>
      <c r="AF22" s="22"/>
      <c r="AG22" s="41" t="s">
        <v>17</v>
      </c>
      <c r="AH22" s="60">
        <f>IF(ISBLANK(S22),"",VLOOKUP(S22,'[1]plan gier'!$X:$AN,12,FALSE))</f>
        <v>21</v>
      </c>
      <c r="AI22" s="61">
        <f>IF(ISBLANK(S22),"",VLOOKUP(S22,'[1]plan gier'!$X:$AN,13,FALSE))</f>
        <v>9</v>
      </c>
      <c r="AJ22" s="61">
        <f>IF(ISBLANK(S22),"",VLOOKUP(S22,'[1]plan gier'!$X:$AN,14,FALSE))</f>
        <v>21</v>
      </c>
      <c r="AK22" s="61">
        <f>IF(ISBLANK(S22),"",VLOOKUP(S22,'[1]plan gier'!$X:$AN,15,FALSE))</f>
        <v>4</v>
      </c>
      <c r="AL22" s="61">
        <f>IF(ISBLANK(S22),"",VLOOKUP(S22,'[1]plan gier'!$X:$AN,16,FALSE))</f>
        <v>0</v>
      </c>
      <c r="AM22" s="61">
        <f>IF(ISBLANK(S22),"",VLOOKUP(S22,'[1]plan gier'!$X:$AN,17,FALSE))</f>
        <v>0</v>
      </c>
      <c r="AN22" s="62">
        <f t="shared" si="1"/>
        <v>21</v>
      </c>
      <c r="AO22" s="61">
        <f t="shared" si="1"/>
        <v>9</v>
      </c>
      <c r="AP22" s="63">
        <f t="shared" si="1"/>
        <v>21</v>
      </c>
      <c r="AQ22" s="61">
        <f t="shared" si="1"/>
        <v>4</v>
      </c>
      <c r="AR22" s="63">
        <f t="shared" si="1"/>
        <v>0</v>
      </c>
      <c r="AS22" s="61">
        <f t="shared" si="1"/>
        <v>0</v>
      </c>
      <c r="AT22" s="51">
        <f>SUM(AN22:AS22)</f>
        <v>55</v>
      </c>
      <c r="AU22" s="52">
        <v>2</v>
      </c>
      <c r="AV22" s="60">
        <f>IF(AH23&lt;AI23,1,0)+IF(AJ23&lt;AK23,1,0)+IF(AL23&lt;AM23,1,0)</f>
        <v>1</v>
      </c>
      <c r="AW22" s="61">
        <f>AX21</f>
        <v>2</v>
      </c>
      <c r="AX22" s="64"/>
      <c r="AY22" s="65"/>
      <c r="AZ22" s="61">
        <f>IF(AH22&gt;AI22,1,0)+IF(AJ22&gt;AK22,1,0)+IF(AL22&gt;AM22,1,0)</f>
        <v>2</v>
      </c>
      <c r="BA22" s="66">
        <f>AX23</f>
        <v>0</v>
      </c>
      <c r="BD22" s="60">
        <f>AN22+AP22+AR22+AO23+AQ23+AS23</f>
        <v>100</v>
      </c>
      <c r="BE22" s="66">
        <f>AO22+AQ22+AS22+AN23+AP23+AR23</f>
        <v>71</v>
      </c>
      <c r="BF22" s="60">
        <f>AV22+AZ22</f>
        <v>3</v>
      </c>
      <c r="BG22" s="66">
        <f>AW22+BA22</f>
        <v>2</v>
      </c>
      <c r="BH22" s="60">
        <f>IF(AV22&gt;AW22,1,0)+IF(AZ22&gt;BA22,1,0)</f>
        <v>1</v>
      </c>
      <c r="BI22" s="67">
        <f>IF(AW22&gt;AV22,1,0)+IF(BA22&gt;AZ22,1,0)</f>
        <v>1</v>
      </c>
      <c r="BJ22" s="68">
        <f>IF(BH22+BI22=0,"",IF(BK22=MAX(BK21:BK23),1,IF(BK22=MIN(BK21:BK23),3,2)))</f>
        <v>2</v>
      </c>
      <c r="BK22" s="13">
        <f>IF(BH22+BI22&lt;&gt;0,BH22-BI22+(BF22-BG22)/100+(BD22-BE22)/10000,-2)</f>
        <v>0.0129</v>
      </c>
    </row>
    <row r="23" spans="1:63" ht="11.25" customHeight="1" thickBot="1">
      <c r="A23" s="12">
        <f>S23</f>
        <v>14</v>
      </c>
      <c r="B23" s="2" t="str">
        <f>IF(N19="","",N19)</f>
        <v>W0013</v>
      </c>
      <c r="C23" s="2">
        <f>IF(N20="","",N20)</f>
      </c>
      <c r="D23" s="2" t="str">
        <f>IF(N22="","",N22)</f>
        <v>R0017</v>
      </c>
      <c r="E23" s="2">
        <f>IF(N23="","",N23)</f>
      </c>
      <c r="I23" s="2" t="str">
        <f>"3"&amp;O17&amp;N18</f>
        <v>32Beginners</v>
      </c>
      <c r="J23" s="29" t="str">
        <f>IF(AC24="","",IF(AC18=3,N19,IF(AC21=3,N22,IF(AC24=3,N25,""))))</f>
        <v>Z0006</v>
      </c>
      <c r="K23" s="29">
        <f>IF(AC24="","",IF(AC18=3,N20,IF(AC21=3,N23,IF(AC24=3,N26,""))))</f>
        <v>0</v>
      </c>
      <c r="M23" s="39" t="str">
        <f>N18</f>
        <v>Beginners</v>
      </c>
      <c r="N23" s="35"/>
      <c r="O23" s="23"/>
      <c r="P23" s="23"/>
      <c r="Q23" s="40">
        <f>IF(AT23&gt;0,"",IF(A23=0,"",IF(VLOOKUP(A23,'[1]plan gier'!A:S,19,FALSE)="","",VLOOKUP(A23,'[1]plan gier'!A:S,19,FALSE))))</f>
      </c>
      <c r="R23" s="69" t="s">
        <v>18</v>
      </c>
      <c r="S23" s="42">
        <v>14</v>
      </c>
      <c r="T23" s="261"/>
      <c r="U23" s="273">
        <f>IF(N23&lt;&gt;"",CONCATENATE(VLOOKUP(N23,'[1]zawodnicy'!$A:$E,1,FALSE)," ",VLOOKUP(N23,'[1]zawodnicy'!$A:$E,2,FALSE)," ",VLOOKUP(N23,'[1]zawodnicy'!$A:$E,3,FALSE)," - ",VLOOKUP(N23,'[1]zawodnicy'!$A:$E,4,FALSE)),"")</f>
      </c>
      <c r="V23" s="274"/>
      <c r="W23" s="70" t="str">
        <f>IF(SUM(AR23:AS23)=0,"",AS23&amp;":"&amp;AR23)</f>
        <v>18:21</v>
      </c>
      <c r="X23" s="59"/>
      <c r="Y23" s="37">
        <f>IF(SUM(AR22:AS22)=0,"",AR22&amp;":"&amp;AS22)</f>
      </c>
      <c r="Z23" s="261"/>
      <c r="AA23" s="266"/>
      <c r="AB23" s="266"/>
      <c r="AC23" s="269"/>
      <c r="AD23" s="2"/>
      <c r="AE23" s="22"/>
      <c r="AF23" s="22"/>
      <c r="AG23" s="69" t="s">
        <v>18</v>
      </c>
      <c r="AH23" s="71">
        <f>IF(ISBLANK(S23),"",VLOOKUP(S23,'[1]plan gier'!$X:$AN,12,FALSE))</f>
        <v>16</v>
      </c>
      <c r="AI23" s="72">
        <f>IF(ISBLANK(S23),"",VLOOKUP(S23,'[1]plan gier'!$X:$AN,13,FALSE))</f>
        <v>21</v>
      </c>
      <c r="AJ23" s="72">
        <f>IF(ISBLANK(S23),"",VLOOKUP(S23,'[1]plan gier'!$X:$AN,14,FALSE))</f>
        <v>21</v>
      </c>
      <c r="AK23" s="72">
        <f>IF(ISBLANK(S23),"",VLOOKUP(S23,'[1]plan gier'!$X:$AN,15,FALSE))</f>
        <v>19</v>
      </c>
      <c r="AL23" s="72">
        <f>IF(ISBLANK(S23),"",VLOOKUP(S23,'[1]plan gier'!$X:$AN,16,FALSE))</f>
        <v>21</v>
      </c>
      <c r="AM23" s="72">
        <f>IF(ISBLANK(S23),"",VLOOKUP(S23,'[1]plan gier'!$X:$AN,17,FALSE))</f>
        <v>18</v>
      </c>
      <c r="AN23" s="73">
        <f t="shared" si="1"/>
        <v>16</v>
      </c>
      <c r="AO23" s="72">
        <f t="shared" si="1"/>
        <v>21</v>
      </c>
      <c r="AP23" s="74">
        <f t="shared" si="1"/>
        <v>21</v>
      </c>
      <c r="AQ23" s="72">
        <f t="shared" si="1"/>
        <v>19</v>
      </c>
      <c r="AR23" s="74">
        <f t="shared" si="1"/>
        <v>21</v>
      </c>
      <c r="AS23" s="72">
        <f t="shared" si="1"/>
        <v>18</v>
      </c>
      <c r="AT23" s="51">
        <f>SUM(AN23:AS23)</f>
        <v>116</v>
      </c>
      <c r="AU23" s="52">
        <v>3</v>
      </c>
      <c r="AV23" s="71">
        <f>IF(AH21&lt;AI21,1,0)+IF(AJ21&lt;AK21,1,0)+IF(AL21&lt;AM21,1,0)</f>
        <v>0</v>
      </c>
      <c r="AW23" s="72">
        <f>AZ21</f>
        <v>2</v>
      </c>
      <c r="AX23" s="72">
        <f>IF(AH22&lt;AI22,1,0)+IF(AJ22&lt;AK22,1,0)+IF(AL22&lt;AM22,1,0)</f>
        <v>0</v>
      </c>
      <c r="AY23" s="72">
        <f>AZ22</f>
        <v>2</v>
      </c>
      <c r="AZ23" s="75"/>
      <c r="BA23" s="76"/>
      <c r="BD23" s="71">
        <f>AO21+AQ21+AS21+AO22+AQ22+AS22</f>
        <v>32</v>
      </c>
      <c r="BE23" s="77">
        <f>AN21+AP21+AR21+AN22+AP22+AR22</f>
        <v>84</v>
      </c>
      <c r="BF23" s="71">
        <f>AV23+AX23</f>
        <v>0</v>
      </c>
      <c r="BG23" s="77">
        <f>AW23+AY23</f>
        <v>4</v>
      </c>
      <c r="BH23" s="71">
        <f>IF(AV23&gt;AW23,1,0)+IF(AX23&gt;AY23,1,0)</f>
        <v>0</v>
      </c>
      <c r="BI23" s="78">
        <f>IF(AW23&gt;AV23,1,0)+IF(AY23&gt;AX23,1,0)</f>
        <v>2</v>
      </c>
      <c r="BJ23" s="79">
        <f>IF(BH23+BI23=0,"",IF(BK23=MAX(BK21:BK23),1,IF(BK23=MIN(BK21:BK23),3,2)))</f>
        <v>3</v>
      </c>
      <c r="BK23" s="13">
        <f>IF(BH23+BI23&lt;&gt;0,BH23-BI23+(BF23-BG23)/100+(BD23-BE23)/10000,-2)</f>
        <v>-2.0452</v>
      </c>
    </row>
    <row r="24" spans="1:59" ht="11.25" customHeight="1">
      <c r="A24" s="2"/>
      <c r="J24" s="23"/>
      <c r="K24" s="23"/>
      <c r="L24" s="23"/>
      <c r="O24" s="23"/>
      <c r="P24" s="23"/>
      <c r="Q24" s="2"/>
      <c r="R24" s="2"/>
      <c r="S24" s="2"/>
      <c r="T24" s="279">
        <v>3</v>
      </c>
      <c r="U24" s="280">
        <f>IF(AND(N25&lt;&gt;"",N26&lt;&gt;""),CONCATENATE(VLOOKUP(N25,'[1]zawodnicy'!$A:$E,1,FALSE)," ",VLOOKUP(N25,'[1]zawodnicy'!$A:$E,2,FALSE)," ",VLOOKUP(N25,'[1]zawodnicy'!$A:$E,3,FALSE)," - ",VLOOKUP(N25,'[1]zawodnicy'!$A:$E,4,FALSE)),"")</f>
      </c>
      <c r="V24" s="281"/>
      <c r="W24" s="43" t="str">
        <f>IF(SUM(AN21:AO21)=0,"",AO21&amp;":"&amp;AN21)</f>
        <v>7:21</v>
      </c>
      <c r="X24" s="80" t="str">
        <f>IF(SUM(AN22:AO22)=0,"",AO22&amp;":"&amp;AN22)</f>
        <v>9:21</v>
      </c>
      <c r="Y24" s="81"/>
      <c r="Z24" s="279" t="str">
        <f>IF(SUM(AV23:AY23)=0,"",BD23&amp;":"&amp;BE23)</f>
        <v>32:84</v>
      </c>
      <c r="AA24" s="282" t="str">
        <f>IF(SUM(AV23:AY23)=0,"",BF23&amp;":"&amp;BG23)</f>
        <v>0:4</v>
      </c>
      <c r="AB24" s="282" t="str">
        <f>IF(SUM(AV23:AY23)=0,"",BH23&amp;":"&amp;BI23)</f>
        <v>0:2</v>
      </c>
      <c r="AC24" s="283">
        <f>IF(SUM(BH21:BH23)&gt;0,BJ23,"")</f>
        <v>3</v>
      </c>
      <c r="AD24" s="2"/>
      <c r="AE24" s="22"/>
      <c r="AF24" s="22"/>
      <c r="BD24" s="12">
        <f>SUM(BD21:BD23)</f>
        <v>232</v>
      </c>
      <c r="BE24" s="12">
        <f>SUM(BE21:BE23)</f>
        <v>232</v>
      </c>
      <c r="BF24" s="12">
        <f>SUM(BF21:BF23)</f>
        <v>7</v>
      </c>
      <c r="BG24" s="12">
        <f>SUM(BG21:BG23)</f>
        <v>7</v>
      </c>
    </row>
    <row r="25" spans="1:63" ht="11.25" customHeight="1">
      <c r="A25" s="12"/>
      <c r="J25" s="12"/>
      <c r="K25" s="12"/>
      <c r="L25" s="12"/>
      <c r="N25" s="30" t="s">
        <v>22</v>
      </c>
      <c r="O25" s="31">
        <f>IF(O17&gt;0,(O17&amp;3)*1,"")</f>
        <v>23</v>
      </c>
      <c r="Q25" s="82"/>
      <c r="R25" s="82"/>
      <c r="S25" s="42"/>
      <c r="T25" s="260"/>
      <c r="U25" s="271" t="str">
        <f>IF(AND(N25&lt;&gt;"",N26=""),CONCATENATE(VLOOKUP(N25,'[1]zawodnicy'!$A:$E,1,FALSE)," ",VLOOKUP(N25,'[1]zawodnicy'!$A:$E,2,FALSE)," ",VLOOKUP(N25,'[1]zawodnicy'!$A:$E,3,FALSE)," - ",VLOOKUP(N25,'[1]zawodnicy'!$A:$E,4,FALSE)),"")</f>
        <v>Z0006 Wiloetta ZIOŁO - Żupawa</v>
      </c>
      <c r="V25" s="272"/>
      <c r="W25" s="58" t="str">
        <f>IF(SUM(AP21:AQ21)=0,"",AQ21&amp;":"&amp;AP21)</f>
        <v>12:21</v>
      </c>
      <c r="X25" s="33" t="str">
        <f>IF(SUM(AP22:AQ22)=0,"",AQ22&amp;":"&amp;AP22)</f>
        <v>4:21</v>
      </c>
      <c r="Y25" s="83"/>
      <c r="Z25" s="260"/>
      <c r="AA25" s="265"/>
      <c r="AB25" s="265"/>
      <c r="AC25" s="268"/>
      <c r="AD25" s="2"/>
      <c r="AE25" s="22"/>
      <c r="AF25" s="2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1.25" customHeight="1" thickBot="1">
      <c r="A26" s="2"/>
      <c r="J26" s="23"/>
      <c r="K26" s="23"/>
      <c r="L26" s="23"/>
      <c r="N26" s="35"/>
      <c r="O26" s="23"/>
      <c r="P26" s="23"/>
      <c r="Q26" s="2"/>
      <c r="R26" s="2"/>
      <c r="S26" s="2"/>
      <c r="T26" s="284"/>
      <c r="U26" s="287">
        <f>IF(N26&lt;&gt;"",CONCATENATE(VLOOKUP(N26,'[1]zawodnicy'!$A:$E,1,FALSE)," ",VLOOKUP(N26,'[1]zawodnicy'!$A:$E,2,FALSE)," ",VLOOKUP(N26,'[1]zawodnicy'!$A:$E,3,FALSE)," - ",VLOOKUP(N26,'[1]zawodnicy'!$A:$E,4,FALSE)),"")</f>
      </c>
      <c r="V26" s="288"/>
      <c r="W26" s="84">
        <f>IF(SUM(AR21:AS21)=0,"",AS21&amp;":"&amp;AR21)</f>
      </c>
      <c r="X26" s="85">
        <f>IF(SUM(AR22:AS22)=0,"",AS22&amp;":"&amp;AR22)</f>
      </c>
      <c r="Y26" s="86"/>
      <c r="Z26" s="284"/>
      <c r="AA26" s="285"/>
      <c r="AB26" s="285"/>
      <c r="AC26" s="286"/>
      <c r="AD26" s="29"/>
      <c r="AE26" s="22"/>
      <c r="AF26" s="2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0:63" ht="12" customHeight="1" thickBot="1">
      <c r="J27" s="3"/>
      <c r="K27" s="3"/>
      <c r="L27" s="3"/>
      <c r="N27" s="4"/>
      <c r="O27" s="3"/>
      <c r="P27" s="3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7"/>
    </row>
    <row r="28" spans="14:32" ht="11.25" customHeight="1" thickBot="1">
      <c r="N28" s="8"/>
      <c r="O28" s="14">
        <v>3</v>
      </c>
      <c r="Q28" s="253" t="str">
        <f>"Grupa "&amp;O28&amp;"."</f>
        <v>Grupa 3.</v>
      </c>
      <c r="R28" s="253"/>
      <c r="S28" s="254"/>
      <c r="T28" s="15" t="s">
        <v>1</v>
      </c>
      <c r="U28" s="255" t="s">
        <v>2</v>
      </c>
      <c r="V28" s="256"/>
      <c r="W28" s="15">
        <v>1</v>
      </c>
      <c r="X28" s="17">
        <v>2</v>
      </c>
      <c r="Y28" s="18">
        <v>3</v>
      </c>
      <c r="Z28" s="19" t="s">
        <v>3</v>
      </c>
      <c r="AA28" s="20" t="s">
        <v>4</v>
      </c>
      <c r="AB28" s="20" t="s">
        <v>5</v>
      </c>
      <c r="AC28" s="21" t="s">
        <v>6</v>
      </c>
      <c r="AD28" s="2"/>
      <c r="AE28" s="22"/>
      <c r="AF28" s="22"/>
    </row>
    <row r="29" spans="10:45" ht="11.25" customHeight="1">
      <c r="J29" s="23"/>
      <c r="K29" s="23"/>
      <c r="L29" s="23"/>
      <c r="N29" s="24" t="s">
        <v>0</v>
      </c>
      <c r="Q29" s="257" t="s">
        <v>7</v>
      </c>
      <c r="R29" s="257"/>
      <c r="S29" s="258" t="s">
        <v>8</v>
      </c>
      <c r="T29" s="259">
        <v>1</v>
      </c>
      <c r="U29" s="262">
        <f>IF(AND(N30&lt;&gt;"",N31&lt;&gt;""),CONCATENATE(VLOOKUP(N30,'[1]zawodnicy'!$A:$E,1,FALSE)," ",VLOOKUP(N30,'[1]zawodnicy'!$A:$E,2,FALSE)," ",VLOOKUP(N30,'[1]zawodnicy'!$A:$E,3,FALSE)," - ",VLOOKUP(N30,'[1]zawodnicy'!$A:$E,4,FALSE)),"")</f>
      </c>
      <c r="V29" s="263"/>
      <c r="W29" s="25"/>
      <c r="X29" s="26" t="str">
        <f>IF(SUM(AN34:AO34)=0,"",AN34&amp;":"&amp;AO34)</f>
        <v>21:1</v>
      </c>
      <c r="Y29" s="27" t="str">
        <f>IF(SUM(AN32:AO32)=0,"",AN32&amp;":"&amp;AO32)</f>
        <v>21:4</v>
      </c>
      <c r="Z29" s="259" t="str">
        <f>IF(SUM(AX32:BA32)=0,"",BD32&amp;":"&amp;BE32)</f>
        <v>84:11</v>
      </c>
      <c r="AA29" s="264" t="str">
        <f>IF(SUM(AX32:BA32)=0,"",BF32&amp;":"&amp;BG32)</f>
        <v>4:0</v>
      </c>
      <c r="AB29" s="264" t="str">
        <f>IF(SUM(AX32:BA32)=0,"",BH32&amp;":"&amp;BI32)</f>
        <v>2:0</v>
      </c>
      <c r="AC29" s="267">
        <f>IF(SUM(BH32:BH34)&gt;0,BJ32,"")</f>
        <v>1</v>
      </c>
      <c r="AD29" s="2"/>
      <c r="AE29" s="22"/>
      <c r="AF29" s="22"/>
      <c r="AG29" s="28"/>
      <c r="AH29" s="270" t="s">
        <v>9</v>
      </c>
      <c r="AI29" s="270"/>
      <c r="AJ29" s="270"/>
      <c r="AK29" s="270"/>
      <c r="AL29" s="270"/>
      <c r="AM29" s="270"/>
      <c r="AN29" s="270" t="s">
        <v>10</v>
      </c>
      <c r="AO29" s="270"/>
      <c r="AP29" s="270"/>
      <c r="AQ29" s="270"/>
      <c r="AR29" s="270"/>
      <c r="AS29" s="270"/>
    </row>
    <row r="30" spans="9:59" ht="11.25" customHeight="1" thickBot="1">
      <c r="I30" s="2" t="str">
        <f>"1"&amp;O28&amp;N29</f>
        <v>13Beginners</v>
      </c>
      <c r="J30" s="29" t="str">
        <f>IF(AC29="","",IF(AC29=1,N30,IF(AC32=1,N33,IF(AC35=1,N36,""))))</f>
        <v>S0035</v>
      </c>
      <c r="K30" s="29">
        <f>IF(AC29="","",IF(AC29=1,N31,IF(AC32=1,N34,IF(AC35=1,N37,""))))</f>
        <v>0</v>
      </c>
      <c r="L30" s="29"/>
      <c r="N30" s="30" t="s">
        <v>23</v>
      </c>
      <c r="O30" s="31">
        <f>IF(O28&gt;0,(O28&amp;1)*1,"")</f>
        <v>31</v>
      </c>
      <c r="Q30" s="257"/>
      <c r="R30" s="257"/>
      <c r="S30" s="258"/>
      <c r="T30" s="260"/>
      <c r="U30" s="271" t="str">
        <f>IF(AND(N30&lt;&gt;"",N31=""),CONCATENATE(VLOOKUP(N30,'[1]zawodnicy'!$A:$E,1,FALSE)," ",VLOOKUP(N30,'[1]zawodnicy'!$A:$E,2,FALSE)," ",VLOOKUP(N30,'[1]zawodnicy'!$A:$E,3,FALSE)," - ",VLOOKUP(N30,'[1]zawodnicy'!$A:$E,4,FALSE)),"")</f>
        <v>S0035 Kuba SITEK - Rzeszów</v>
      </c>
      <c r="V30" s="272"/>
      <c r="W30" s="32"/>
      <c r="X30" s="33" t="str">
        <f>IF(SUM(AP34:AQ34)=0,"",AP34&amp;":"&amp;AQ34)</f>
        <v>21:5</v>
      </c>
      <c r="Y30" s="34" t="str">
        <f>IF(SUM(AP32:AQ32)=0,"",AP32&amp;":"&amp;AQ32)</f>
        <v>21:1</v>
      </c>
      <c r="Z30" s="260"/>
      <c r="AA30" s="265"/>
      <c r="AB30" s="265"/>
      <c r="AC30" s="268"/>
      <c r="AD30" s="2"/>
      <c r="AE30" s="22"/>
      <c r="AF30" s="22"/>
      <c r="AG30" s="28"/>
      <c r="BD30" s="12">
        <f>SUM(BD32:BD34)</f>
        <v>208</v>
      </c>
      <c r="BE30" s="12">
        <f>SUM(BE32:BE34)</f>
        <v>208</v>
      </c>
      <c r="BF30" s="12">
        <f>SUM(BF32:BF34)</f>
        <v>7</v>
      </c>
      <c r="BG30" s="12">
        <f>SUM(BG32:BG34)</f>
        <v>7</v>
      </c>
    </row>
    <row r="31" spans="10:63" ht="11.25" customHeight="1" thickBot="1">
      <c r="J31" s="29"/>
      <c r="K31" s="23"/>
      <c r="L31" s="23"/>
      <c r="N31" s="35"/>
      <c r="O31" s="23"/>
      <c r="P31" s="23"/>
      <c r="Q31" s="257"/>
      <c r="R31" s="257"/>
      <c r="S31" s="258"/>
      <c r="T31" s="261"/>
      <c r="U31" s="273">
        <f>IF(N31&lt;&gt;"",CONCATENATE(VLOOKUP(N31,'[1]zawodnicy'!$A:$E,1,FALSE)," ",VLOOKUP(N31,'[1]zawodnicy'!$A:$E,2,FALSE)," ",VLOOKUP(N31,'[1]zawodnicy'!$A:$E,3,FALSE)," - ",VLOOKUP(N31,'[1]zawodnicy'!$A:$E,4,FALSE)),"")</f>
      </c>
      <c r="V31" s="274"/>
      <c r="W31" s="32"/>
      <c r="X31" s="36">
        <f>IF(SUM(AR34:AS34)=0,"",AR34&amp;":"&amp;AS34)</f>
      </c>
      <c r="Y31" s="37">
        <f>IF(SUM(AR32:AS32)=0,"",AR32&amp;":"&amp;AS32)</f>
      </c>
      <c r="Z31" s="261"/>
      <c r="AA31" s="266"/>
      <c r="AB31" s="266"/>
      <c r="AC31" s="269"/>
      <c r="AD31" s="2"/>
      <c r="AE31" s="22"/>
      <c r="AF31" s="22"/>
      <c r="AG31" s="28"/>
      <c r="AH31" s="275" t="s">
        <v>12</v>
      </c>
      <c r="AI31" s="276"/>
      <c r="AJ31" s="277" t="s">
        <v>13</v>
      </c>
      <c r="AK31" s="276"/>
      <c r="AL31" s="277" t="s">
        <v>14</v>
      </c>
      <c r="AM31" s="278"/>
      <c r="AN31" s="275" t="s">
        <v>12</v>
      </c>
      <c r="AO31" s="276"/>
      <c r="AP31" s="277" t="s">
        <v>13</v>
      </c>
      <c r="AQ31" s="276"/>
      <c r="AR31" s="277" t="s">
        <v>14</v>
      </c>
      <c r="AS31" s="276"/>
      <c r="AT31" s="22"/>
      <c r="AU31" s="22"/>
      <c r="AV31" s="275">
        <v>1</v>
      </c>
      <c r="AW31" s="276"/>
      <c r="AX31" s="277">
        <v>2</v>
      </c>
      <c r="AY31" s="276"/>
      <c r="AZ31" s="277">
        <v>3</v>
      </c>
      <c r="BA31" s="278"/>
      <c r="BD31" s="275" t="s">
        <v>3</v>
      </c>
      <c r="BE31" s="278"/>
      <c r="BF31" s="275" t="s">
        <v>4</v>
      </c>
      <c r="BG31" s="278"/>
      <c r="BH31" s="275" t="s">
        <v>5</v>
      </c>
      <c r="BI31" s="278"/>
      <c r="BJ31" s="38" t="s">
        <v>6</v>
      </c>
      <c r="BK31" s="13">
        <f>SUM(BK32:BK34)</f>
        <v>2.7755575615628914E-16</v>
      </c>
    </row>
    <row r="32" spans="1:63" ht="11.25" customHeight="1">
      <c r="A32" s="12">
        <f>S32</f>
        <v>3</v>
      </c>
      <c r="B32" s="2" t="str">
        <f>IF(N30="","",N30)</f>
        <v>S0035</v>
      </c>
      <c r="C32" s="2">
        <f>IF(N31="","",N31)</f>
      </c>
      <c r="D32" s="2" t="str">
        <f>IF(N36="","",N36)</f>
        <v>K0041</v>
      </c>
      <c r="E32" s="2">
        <f>IF(N37="","",N37)</f>
      </c>
      <c r="I32" s="2" t="str">
        <f>"2"&amp;O28&amp;N29</f>
        <v>23Beginners</v>
      </c>
      <c r="J32" s="29" t="str">
        <f>IF(AC32="","",IF(AC29=2,N30,IF(AC32=2,N33,IF(AC35=2,N36,""))))</f>
        <v>K0041</v>
      </c>
      <c r="K32" s="29">
        <f>IF(AC32="","",IF(AC29=2,N31,IF(AC32=2,N34,IF(AC35=2,N37,""))))</f>
        <v>0</v>
      </c>
      <c r="M32" s="39" t="str">
        <f>N29</f>
        <v>Beginners</v>
      </c>
      <c r="O32" s="23"/>
      <c r="P32" s="23"/>
      <c r="Q32" s="40">
        <f>IF(AT32&gt;0,"",IF(A32=0,"",IF(VLOOKUP(A32,'[1]plan gier'!A:S,19,FALSE)="","",VLOOKUP(A32,'[1]plan gier'!A:S,19,FALSE))))</f>
      </c>
      <c r="R32" s="41" t="s">
        <v>15</v>
      </c>
      <c r="S32" s="42">
        <v>3</v>
      </c>
      <c r="T32" s="279">
        <v>2</v>
      </c>
      <c r="U32" s="280">
        <f>IF(AND(N33&lt;&gt;"",N34&lt;&gt;""),CONCATENATE(VLOOKUP(N33,'[1]zawodnicy'!$A:$E,1,FALSE)," ",VLOOKUP(N33,'[1]zawodnicy'!$A:$E,2,FALSE)," ",VLOOKUP(N33,'[1]zawodnicy'!$A:$E,3,FALSE)," - ",VLOOKUP(N33,'[1]zawodnicy'!$A:$E,4,FALSE)),"")</f>
      </c>
      <c r="V32" s="281"/>
      <c r="W32" s="43" t="str">
        <f>IF(SUM(AN34:AO34)=0,"",AO34&amp;":"&amp;AN34)</f>
        <v>1:21</v>
      </c>
      <c r="X32" s="44"/>
      <c r="Y32" s="45" t="str">
        <f>IF(SUM(AN33:AO33)=0,"",AN33&amp;":"&amp;AO33)</f>
        <v>16:21</v>
      </c>
      <c r="Z32" s="279" t="str">
        <f>IF(SUM(AV33:AW33,AZ33:BA33)=0,"",BD33&amp;":"&amp;BE33)</f>
        <v>62:99</v>
      </c>
      <c r="AA32" s="282" t="str">
        <f>IF(SUM(AV33:AW33,AZ33:BA33)=0,"",BF33&amp;":"&amp;BG33)</f>
        <v>1:4</v>
      </c>
      <c r="AB32" s="282" t="str">
        <f>IF(SUM(AV33:AW33,AZ33:BA33)=0,"",BH33&amp;":"&amp;BI33)</f>
        <v>0:2</v>
      </c>
      <c r="AC32" s="283">
        <f>IF(SUM(BH32:BH34)&gt;0,BJ33,"")</f>
        <v>3</v>
      </c>
      <c r="AD32" s="2"/>
      <c r="AE32" s="22"/>
      <c r="AF32" s="22"/>
      <c r="AG32" s="41" t="s">
        <v>15</v>
      </c>
      <c r="AH32" s="46">
        <f>IF(ISBLANK(S32),"",VLOOKUP(S32,'[1]plan gier'!$X:$AN,12,FALSE))</f>
        <v>21</v>
      </c>
      <c r="AI32" s="47">
        <f>IF(ISBLANK(S32),"",VLOOKUP(S32,'[1]plan gier'!$X:$AN,13,FALSE))</f>
        <v>4</v>
      </c>
      <c r="AJ32" s="47">
        <f>IF(ISBLANK(S32),"",VLOOKUP(S32,'[1]plan gier'!$X:$AN,14,FALSE))</f>
        <v>21</v>
      </c>
      <c r="AK32" s="47">
        <f>IF(ISBLANK(S32),"",VLOOKUP(S32,'[1]plan gier'!$X:$AN,15,FALSE))</f>
        <v>1</v>
      </c>
      <c r="AL32" s="47">
        <f>IF(ISBLANK(S32),"",VLOOKUP(S32,'[1]plan gier'!$X:$AN,16,FALSE))</f>
        <v>0</v>
      </c>
      <c r="AM32" s="47">
        <f>IF(ISBLANK(S32),"",VLOOKUP(S32,'[1]plan gier'!$X:$AN,17,FALSE))</f>
        <v>0</v>
      </c>
      <c r="AN32" s="48">
        <f aca="true" t="shared" si="2" ref="AN32:AS34">IF(AH32="",0,AH32)</f>
        <v>21</v>
      </c>
      <c r="AO32" s="49">
        <f t="shared" si="2"/>
        <v>4</v>
      </c>
      <c r="AP32" s="50">
        <f t="shared" si="2"/>
        <v>21</v>
      </c>
      <c r="AQ32" s="49">
        <f t="shared" si="2"/>
        <v>1</v>
      </c>
      <c r="AR32" s="50">
        <f t="shared" si="2"/>
        <v>0</v>
      </c>
      <c r="AS32" s="49">
        <f t="shared" si="2"/>
        <v>0</v>
      </c>
      <c r="AT32" s="51">
        <f>SUM(AN32:AS32)</f>
        <v>47</v>
      </c>
      <c r="AU32" s="52">
        <v>1</v>
      </c>
      <c r="AV32" s="53"/>
      <c r="AW32" s="54"/>
      <c r="AX32" s="47">
        <f>IF(AH34&gt;AI34,1,0)+IF(AJ34&gt;AK34,1,0)+IF(AL34&gt;AM34,1,0)</f>
        <v>2</v>
      </c>
      <c r="AY32" s="47">
        <f>AV33</f>
        <v>0</v>
      </c>
      <c r="AZ32" s="47">
        <f>IF(AH32&gt;AI32,1,0)+IF(AJ32&gt;AK32,1,0)+IF(AL32&gt;AM32,1,0)</f>
        <v>2</v>
      </c>
      <c r="BA32" s="55">
        <f>AV34</f>
        <v>0</v>
      </c>
      <c r="BD32" s="46">
        <f>AN32+AP32+AR32+AN34+AP34+AR34</f>
        <v>84</v>
      </c>
      <c r="BE32" s="55">
        <f>AO32+AQ32+AS32+AO34+AQ34+AS34</f>
        <v>11</v>
      </c>
      <c r="BF32" s="46">
        <f>AX32+AZ32</f>
        <v>4</v>
      </c>
      <c r="BG32" s="55">
        <f>AY32+BA32</f>
        <v>0</v>
      </c>
      <c r="BH32" s="46">
        <f>IF(AX32&gt;AY32,1,0)+IF(AZ32&gt;BA32,1,0)</f>
        <v>2</v>
      </c>
      <c r="BI32" s="56">
        <f>IF(AY32&gt;AX32,1,0)+IF(BA32&gt;AZ32,1,0)</f>
        <v>0</v>
      </c>
      <c r="BJ32" s="57">
        <f>IF(BH32+BI32=0,"",IF(BK32=MAX(BK32:BK34),1,IF(BK32=MIN(BK32:BK34),3,2)))</f>
        <v>1</v>
      </c>
      <c r="BK32" s="13">
        <f>IF(BH32+BI32&lt;&gt;0,BH32-BI32+(BF32-BG32)/100+(BD32-BE32)/10000,-2)</f>
        <v>2.0473</v>
      </c>
    </row>
    <row r="33" spans="1:63" ht="11.25" customHeight="1">
      <c r="A33" s="12">
        <f>S33</f>
        <v>9</v>
      </c>
      <c r="B33" s="2" t="str">
        <f>IF(N33="","",N33)</f>
        <v>S0037</v>
      </c>
      <c r="C33" s="2">
        <f>IF(N34="","",N34)</f>
      </c>
      <c r="D33" s="2" t="str">
        <f>IF(N36="","",N36)</f>
        <v>K0041</v>
      </c>
      <c r="E33" s="2">
        <f>IF(N37="","",N37)</f>
      </c>
      <c r="J33" s="29"/>
      <c r="K33" s="12"/>
      <c r="M33" s="39" t="str">
        <f>N29</f>
        <v>Beginners</v>
      </c>
      <c r="N33" s="30" t="s">
        <v>24</v>
      </c>
      <c r="O33" s="31">
        <f>IF(O28&gt;0,(O28&amp;2)*1,"")</f>
        <v>32</v>
      </c>
      <c r="Q33" s="40">
        <f>IF(AT33&gt;0,"",IF(A33=0,"",IF(VLOOKUP(A33,'[1]plan gier'!A:S,19,FALSE)="","",VLOOKUP(A33,'[1]plan gier'!A:S,19,FALSE))))</f>
      </c>
      <c r="R33" s="41" t="s">
        <v>17</v>
      </c>
      <c r="S33" s="42">
        <v>9</v>
      </c>
      <c r="T33" s="260"/>
      <c r="U33" s="271" t="str">
        <f>IF(AND(N33&lt;&gt;"",N34=""),CONCATENATE(VLOOKUP(N33,'[1]zawodnicy'!$A:$E,1,FALSE)," ",VLOOKUP(N33,'[1]zawodnicy'!$A:$E,2,FALSE)," ",VLOOKUP(N33,'[1]zawodnicy'!$A:$E,3,FALSE)," - ",VLOOKUP(N33,'[1]zawodnicy'!$A:$E,4,FALSE)),"")</f>
        <v>S0037 Anna SAWICKA - Tarnowiec</v>
      </c>
      <c r="V33" s="272"/>
      <c r="W33" s="58" t="str">
        <f>IF(SUM(AP34:AQ34)=0,"",AQ34&amp;":"&amp;AP34)</f>
        <v>5:21</v>
      </c>
      <c r="X33" s="59"/>
      <c r="Y33" s="34" t="str">
        <f>IF(SUM(AP33:AQ33)=0,"",AP33&amp;":"&amp;AQ33)</f>
        <v>21:15</v>
      </c>
      <c r="Z33" s="260"/>
      <c r="AA33" s="265"/>
      <c r="AB33" s="265"/>
      <c r="AC33" s="268"/>
      <c r="AD33" s="2"/>
      <c r="AE33" s="22"/>
      <c r="AF33" s="22"/>
      <c r="AG33" s="41" t="s">
        <v>17</v>
      </c>
      <c r="AH33" s="60">
        <f>IF(ISBLANK(S33),"",VLOOKUP(S33,'[1]plan gier'!$X:$AN,12,FALSE))</f>
        <v>16</v>
      </c>
      <c r="AI33" s="61">
        <f>IF(ISBLANK(S33),"",VLOOKUP(S33,'[1]plan gier'!$X:$AN,13,FALSE))</f>
        <v>21</v>
      </c>
      <c r="AJ33" s="61">
        <f>IF(ISBLANK(S33),"",VLOOKUP(S33,'[1]plan gier'!$X:$AN,14,FALSE))</f>
        <v>21</v>
      </c>
      <c r="AK33" s="61">
        <f>IF(ISBLANK(S33),"",VLOOKUP(S33,'[1]plan gier'!$X:$AN,15,FALSE))</f>
        <v>15</v>
      </c>
      <c r="AL33" s="61">
        <f>IF(ISBLANK(S33),"",VLOOKUP(S33,'[1]plan gier'!$X:$AN,16,FALSE))</f>
        <v>19</v>
      </c>
      <c r="AM33" s="61">
        <f>IF(ISBLANK(S33),"",VLOOKUP(S33,'[1]plan gier'!$X:$AN,17,FALSE))</f>
        <v>21</v>
      </c>
      <c r="AN33" s="62">
        <f t="shared" si="2"/>
        <v>16</v>
      </c>
      <c r="AO33" s="61">
        <f t="shared" si="2"/>
        <v>21</v>
      </c>
      <c r="AP33" s="63">
        <f t="shared" si="2"/>
        <v>21</v>
      </c>
      <c r="AQ33" s="61">
        <f t="shared" si="2"/>
        <v>15</v>
      </c>
      <c r="AR33" s="63">
        <f t="shared" si="2"/>
        <v>19</v>
      </c>
      <c r="AS33" s="61">
        <f t="shared" si="2"/>
        <v>21</v>
      </c>
      <c r="AT33" s="51">
        <f>SUM(AN33:AS33)</f>
        <v>113</v>
      </c>
      <c r="AU33" s="52">
        <v>2</v>
      </c>
      <c r="AV33" s="60">
        <f>IF(AH34&lt;AI34,1,0)+IF(AJ34&lt;AK34,1,0)+IF(AL34&lt;AM34,1,0)</f>
        <v>0</v>
      </c>
      <c r="AW33" s="61">
        <f>AX32</f>
        <v>2</v>
      </c>
      <c r="AX33" s="64"/>
      <c r="AY33" s="65"/>
      <c r="AZ33" s="61">
        <f>IF(AH33&gt;AI33,1,0)+IF(AJ33&gt;AK33,1,0)+IF(AL33&gt;AM33,1,0)</f>
        <v>1</v>
      </c>
      <c r="BA33" s="66">
        <f>AX34</f>
        <v>2</v>
      </c>
      <c r="BD33" s="60">
        <f>AN33+AP33+AR33+AO34+AQ34+AS34</f>
        <v>62</v>
      </c>
      <c r="BE33" s="66">
        <f>AO33+AQ33+AS33+AN34+AP34+AR34</f>
        <v>99</v>
      </c>
      <c r="BF33" s="60">
        <f>AV33+AZ33</f>
        <v>1</v>
      </c>
      <c r="BG33" s="66">
        <f>AW33+BA33</f>
        <v>4</v>
      </c>
      <c r="BH33" s="60">
        <f>IF(AV33&gt;AW33,1,0)+IF(AZ33&gt;BA33,1,0)</f>
        <v>0</v>
      </c>
      <c r="BI33" s="67">
        <f>IF(AW33&gt;AV33,1,0)+IF(BA33&gt;AZ33,1,0)</f>
        <v>2</v>
      </c>
      <c r="BJ33" s="68">
        <f>IF(BH33+BI33=0,"",IF(BK33=MAX(BK32:BK34),1,IF(BK33=MIN(BK32:BK34),3,2)))</f>
        <v>3</v>
      </c>
      <c r="BK33" s="13">
        <f>IF(BH33+BI33&lt;&gt;0,BH33-BI33+(BF33-BG33)/100+(BD33-BE33)/10000,-2)</f>
        <v>-2.0336999999999996</v>
      </c>
    </row>
    <row r="34" spans="1:63" ht="11.25" customHeight="1" thickBot="1">
      <c r="A34" s="12">
        <f>S34</f>
        <v>15</v>
      </c>
      <c r="B34" s="2" t="str">
        <f>IF(N30="","",N30)</f>
        <v>S0035</v>
      </c>
      <c r="C34" s="2">
        <f>IF(N31="","",N31)</f>
      </c>
      <c r="D34" s="2" t="str">
        <f>IF(N33="","",N33)</f>
        <v>S0037</v>
      </c>
      <c r="E34" s="2">
        <f>IF(N34="","",N34)</f>
      </c>
      <c r="I34" s="2" t="str">
        <f>"3"&amp;O28&amp;N29</f>
        <v>33Beginners</v>
      </c>
      <c r="J34" s="29" t="str">
        <f>IF(AC35="","",IF(AC29=3,N30,IF(AC32=3,N33,IF(AC35=3,N36,""))))</f>
        <v>S0037</v>
      </c>
      <c r="K34" s="29">
        <f>IF(AC35="","",IF(AC29=3,N31,IF(AC32=3,N34,IF(AC35=3,N37,""))))</f>
        <v>0</v>
      </c>
      <c r="M34" s="39" t="str">
        <f>N29</f>
        <v>Beginners</v>
      </c>
      <c r="N34" s="35"/>
      <c r="O34" s="23"/>
      <c r="P34" s="23"/>
      <c r="Q34" s="40">
        <f>IF(AT34&gt;0,"",IF(A34=0,"",IF(VLOOKUP(A34,'[1]plan gier'!A:S,19,FALSE)="","",VLOOKUP(A34,'[1]plan gier'!A:S,19,FALSE))))</f>
      </c>
      <c r="R34" s="69" t="s">
        <v>18</v>
      </c>
      <c r="S34" s="42">
        <v>15</v>
      </c>
      <c r="T34" s="261"/>
      <c r="U34" s="273">
        <f>IF(N34&lt;&gt;"",CONCATENATE(VLOOKUP(N34,'[1]zawodnicy'!$A:$E,1,FALSE)," ",VLOOKUP(N34,'[1]zawodnicy'!$A:$E,2,FALSE)," ",VLOOKUP(N34,'[1]zawodnicy'!$A:$E,3,FALSE)," - ",VLOOKUP(N34,'[1]zawodnicy'!$A:$E,4,FALSE)),"")</f>
      </c>
      <c r="V34" s="274"/>
      <c r="W34" s="70">
        <f>IF(SUM(AR34:AS34)=0,"",AS34&amp;":"&amp;AR34)</f>
      </c>
      <c r="X34" s="59"/>
      <c r="Y34" s="37" t="str">
        <f>IF(SUM(AR33:AS33)=0,"",AR33&amp;":"&amp;AS33)</f>
        <v>19:21</v>
      </c>
      <c r="Z34" s="261"/>
      <c r="AA34" s="266"/>
      <c r="AB34" s="266"/>
      <c r="AC34" s="269"/>
      <c r="AD34" s="2"/>
      <c r="AE34" s="22"/>
      <c r="AF34" s="22"/>
      <c r="AG34" s="69" t="s">
        <v>18</v>
      </c>
      <c r="AH34" s="71">
        <f>IF(ISBLANK(S34),"",VLOOKUP(S34,'[1]plan gier'!$X:$AN,12,FALSE))</f>
        <v>21</v>
      </c>
      <c r="AI34" s="72">
        <f>IF(ISBLANK(S34),"",VLOOKUP(S34,'[1]plan gier'!$X:$AN,13,FALSE))</f>
        <v>1</v>
      </c>
      <c r="AJ34" s="72">
        <f>IF(ISBLANK(S34),"",VLOOKUP(S34,'[1]plan gier'!$X:$AN,14,FALSE))</f>
        <v>21</v>
      </c>
      <c r="AK34" s="72">
        <f>IF(ISBLANK(S34),"",VLOOKUP(S34,'[1]plan gier'!$X:$AN,15,FALSE))</f>
        <v>5</v>
      </c>
      <c r="AL34" s="72">
        <f>IF(ISBLANK(S34),"",VLOOKUP(S34,'[1]plan gier'!$X:$AN,16,FALSE))</f>
        <v>0</v>
      </c>
      <c r="AM34" s="72">
        <f>IF(ISBLANK(S34),"",VLOOKUP(S34,'[1]plan gier'!$X:$AN,17,FALSE))</f>
        <v>0</v>
      </c>
      <c r="AN34" s="73">
        <f t="shared" si="2"/>
        <v>21</v>
      </c>
      <c r="AO34" s="72">
        <f t="shared" si="2"/>
        <v>1</v>
      </c>
      <c r="AP34" s="74">
        <f t="shared" si="2"/>
        <v>21</v>
      </c>
      <c r="AQ34" s="72">
        <f t="shared" si="2"/>
        <v>5</v>
      </c>
      <c r="AR34" s="74">
        <f t="shared" si="2"/>
        <v>0</v>
      </c>
      <c r="AS34" s="72">
        <f t="shared" si="2"/>
        <v>0</v>
      </c>
      <c r="AT34" s="51">
        <f>SUM(AN34:AS34)</f>
        <v>48</v>
      </c>
      <c r="AU34" s="52">
        <v>3</v>
      </c>
      <c r="AV34" s="71">
        <f>IF(AH32&lt;AI32,1,0)+IF(AJ32&lt;AK32,1,0)+IF(AL32&lt;AM32,1,0)</f>
        <v>0</v>
      </c>
      <c r="AW34" s="72">
        <f>AZ32</f>
        <v>2</v>
      </c>
      <c r="AX34" s="72">
        <f>IF(AH33&lt;AI33,1,0)+IF(AJ33&lt;AK33,1,0)+IF(AL33&lt;AM33,1,0)</f>
        <v>2</v>
      </c>
      <c r="AY34" s="72">
        <f>AZ33</f>
        <v>1</v>
      </c>
      <c r="AZ34" s="75"/>
      <c r="BA34" s="76"/>
      <c r="BD34" s="71">
        <f>AO32+AQ32+AS32+AO33+AQ33+AS33</f>
        <v>62</v>
      </c>
      <c r="BE34" s="77">
        <f>AN32+AP32+AR32+AN33+AP33+AR33</f>
        <v>98</v>
      </c>
      <c r="BF34" s="71">
        <f>AV34+AX34</f>
        <v>2</v>
      </c>
      <c r="BG34" s="77">
        <f>AW34+AY34</f>
        <v>3</v>
      </c>
      <c r="BH34" s="71">
        <f>IF(AV34&gt;AW34,1,0)+IF(AX34&gt;AY34,1,0)</f>
        <v>1</v>
      </c>
      <c r="BI34" s="78">
        <f>IF(AW34&gt;AV34,1,0)+IF(AY34&gt;AX34,1,0)</f>
        <v>1</v>
      </c>
      <c r="BJ34" s="79">
        <f>IF(BH34+BI34=0,"",IF(BK34=MAX(BK32:BK34),1,IF(BK34=MIN(BK32:BK34),3,2)))</f>
        <v>2</v>
      </c>
      <c r="BK34" s="13">
        <f>IF(BH34+BI34&lt;&gt;0,BH34-BI34+(BF34-BG34)/100+(BD34-BE34)/10000,-2)</f>
        <v>-0.013600000000000001</v>
      </c>
    </row>
    <row r="35" spans="1:59" ht="11.25" customHeight="1">
      <c r="A35" s="2"/>
      <c r="J35" s="23"/>
      <c r="K35" s="23"/>
      <c r="L35" s="23"/>
      <c r="O35" s="23"/>
      <c r="P35" s="23"/>
      <c r="Q35" s="2"/>
      <c r="R35" s="2"/>
      <c r="S35" s="2"/>
      <c r="T35" s="279">
        <v>3</v>
      </c>
      <c r="U35" s="280">
        <f>IF(AND(N36&lt;&gt;"",N37&lt;&gt;""),CONCATENATE(VLOOKUP(N36,'[1]zawodnicy'!$A:$E,1,FALSE)," ",VLOOKUP(N36,'[1]zawodnicy'!$A:$E,2,FALSE)," ",VLOOKUP(N36,'[1]zawodnicy'!$A:$E,3,FALSE)," - ",VLOOKUP(N36,'[1]zawodnicy'!$A:$E,4,FALSE)),"")</f>
      </c>
      <c r="V35" s="281"/>
      <c r="W35" s="43" t="str">
        <f>IF(SUM(AN32:AO32)=0,"",AO32&amp;":"&amp;AN32)</f>
        <v>4:21</v>
      </c>
      <c r="X35" s="80" t="str">
        <f>IF(SUM(AN33:AO33)=0,"",AO33&amp;":"&amp;AN33)</f>
        <v>21:16</v>
      </c>
      <c r="Y35" s="81"/>
      <c r="Z35" s="279" t="str">
        <f>IF(SUM(AV34:AY34)=0,"",BD34&amp;":"&amp;BE34)</f>
        <v>62:98</v>
      </c>
      <c r="AA35" s="282" t="str">
        <f>IF(SUM(AV34:AY34)=0,"",BF34&amp;":"&amp;BG34)</f>
        <v>2:3</v>
      </c>
      <c r="AB35" s="282" t="str">
        <f>IF(SUM(AV34:AY34)=0,"",BH34&amp;":"&amp;BI34)</f>
        <v>1:1</v>
      </c>
      <c r="AC35" s="283">
        <f>IF(SUM(BH32:BH34)&gt;0,BJ34,"")</f>
        <v>2</v>
      </c>
      <c r="AD35" s="2"/>
      <c r="AE35" s="22"/>
      <c r="AF35" s="22"/>
      <c r="BD35" s="12">
        <f>SUM(BD32:BD34)</f>
        <v>208</v>
      </c>
      <c r="BE35" s="12">
        <f>SUM(BE32:BE34)</f>
        <v>208</v>
      </c>
      <c r="BF35" s="12">
        <f>SUM(BF32:BF34)</f>
        <v>7</v>
      </c>
      <c r="BG35" s="12">
        <f>SUM(BG32:BG34)</f>
        <v>7</v>
      </c>
    </row>
    <row r="36" spans="1:63" ht="11.25" customHeight="1">
      <c r="A36" s="12"/>
      <c r="J36" s="12"/>
      <c r="K36" s="12"/>
      <c r="L36" s="12"/>
      <c r="N36" s="30" t="s">
        <v>25</v>
      </c>
      <c r="O36" s="31">
        <f>IF(O28&gt;0,(O28&amp;3)*1,"")</f>
        <v>33</v>
      </c>
      <c r="Q36" s="82"/>
      <c r="R36" s="82"/>
      <c r="S36" s="42"/>
      <c r="T36" s="260"/>
      <c r="U36" s="271" t="str">
        <f>IF(AND(N36&lt;&gt;"",N37=""),CONCATENATE(VLOOKUP(N36,'[1]zawodnicy'!$A:$E,1,FALSE)," ",VLOOKUP(N36,'[1]zawodnicy'!$A:$E,2,FALSE)," ",VLOOKUP(N36,'[1]zawodnicy'!$A:$E,3,FALSE)," - ",VLOOKUP(N36,'[1]zawodnicy'!$A:$E,4,FALSE)),"")</f>
        <v>K0041 Kamila KOWAL - Żupawa</v>
      </c>
      <c r="V36" s="272"/>
      <c r="W36" s="58" t="str">
        <f>IF(SUM(AP32:AQ32)=0,"",AQ32&amp;":"&amp;AP32)</f>
        <v>1:21</v>
      </c>
      <c r="X36" s="33" t="str">
        <f>IF(SUM(AP33:AQ33)=0,"",AQ33&amp;":"&amp;AP33)</f>
        <v>15:21</v>
      </c>
      <c r="Y36" s="83"/>
      <c r="Z36" s="260"/>
      <c r="AA36" s="265"/>
      <c r="AB36" s="265"/>
      <c r="AC36" s="268"/>
      <c r="AD36" s="2"/>
      <c r="AE36" s="22"/>
      <c r="AF36" s="2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1.25" customHeight="1" thickBot="1">
      <c r="A37" s="2"/>
      <c r="J37" s="23"/>
      <c r="K37" s="23"/>
      <c r="L37" s="23"/>
      <c r="N37" s="35"/>
      <c r="O37" s="23"/>
      <c r="P37" s="23"/>
      <c r="Q37" s="2"/>
      <c r="R37" s="2"/>
      <c r="S37" s="2"/>
      <c r="T37" s="284"/>
      <c r="U37" s="287">
        <f>IF(N37&lt;&gt;"",CONCATENATE(VLOOKUP(N37,'[1]zawodnicy'!$A:$E,1,FALSE)," ",VLOOKUP(N37,'[1]zawodnicy'!$A:$E,2,FALSE)," ",VLOOKUP(N37,'[1]zawodnicy'!$A:$E,3,FALSE)," - ",VLOOKUP(N37,'[1]zawodnicy'!$A:$E,4,FALSE)),"")</f>
      </c>
      <c r="V37" s="288"/>
      <c r="W37" s="84">
        <f>IF(SUM(AR32:AS32)=0,"",AS32&amp;":"&amp;AR32)</f>
      </c>
      <c r="X37" s="85" t="str">
        <f>IF(SUM(AR33:AS33)=0,"",AS33&amp;":"&amp;AR33)</f>
        <v>21:19</v>
      </c>
      <c r="Y37" s="86"/>
      <c r="Z37" s="284"/>
      <c r="AA37" s="285"/>
      <c r="AB37" s="285"/>
      <c r="AC37" s="286"/>
      <c r="AD37" s="29"/>
      <c r="AE37" s="22"/>
      <c r="AF37" s="2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ht="11.25" customHeight="1" thickBot="1"/>
    <row r="39" spans="14:32" ht="11.25" customHeight="1" thickBot="1">
      <c r="N39" s="8"/>
      <c r="O39" s="14">
        <v>4</v>
      </c>
      <c r="Q39" s="253" t="str">
        <f>"Grupa "&amp;O39&amp;"."</f>
        <v>Grupa 4.</v>
      </c>
      <c r="R39" s="253"/>
      <c r="S39" s="254"/>
      <c r="T39" s="15" t="s">
        <v>1</v>
      </c>
      <c r="U39" s="255" t="s">
        <v>2</v>
      </c>
      <c r="V39" s="256"/>
      <c r="W39" s="15">
        <v>1</v>
      </c>
      <c r="X39" s="17">
        <v>2</v>
      </c>
      <c r="Y39" s="18">
        <v>3</v>
      </c>
      <c r="Z39" s="19" t="s">
        <v>3</v>
      </c>
      <c r="AA39" s="20" t="s">
        <v>4</v>
      </c>
      <c r="AB39" s="20" t="s">
        <v>5</v>
      </c>
      <c r="AC39" s="21" t="s">
        <v>6</v>
      </c>
      <c r="AD39" s="2"/>
      <c r="AE39" s="22"/>
      <c r="AF39" s="22"/>
    </row>
    <row r="40" spans="10:45" ht="11.25" customHeight="1">
      <c r="J40" s="23"/>
      <c r="K40" s="23"/>
      <c r="L40" s="23"/>
      <c r="N40" s="24" t="s">
        <v>0</v>
      </c>
      <c r="Q40" s="257" t="s">
        <v>7</v>
      </c>
      <c r="R40" s="257"/>
      <c r="S40" s="258" t="s">
        <v>8</v>
      </c>
      <c r="T40" s="259">
        <v>1</v>
      </c>
      <c r="U40" s="262">
        <f>IF(AND(N41&lt;&gt;"",N42&lt;&gt;""),CONCATENATE(VLOOKUP(N41,'[1]zawodnicy'!$A:$E,1,FALSE)," ",VLOOKUP(N41,'[1]zawodnicy'!$A:$E,2,FALSE)," ",VLOOKUP(N41,'[1]zawodnicy'!$A:$E,3,FALSE)," - ",VLOOKUP(N41,'[1]zawodnicy'!$A:$E,4,FALSE)),"")</f>
      </c>
      <c r="V40" s="263"/>
      <c r="W40" s="25"/>
      <c r="X40" s="26" t="str">
        <f>IF(SUM(AN45:AO45)=0,"",AN45&amp;":"&amp;AO45)</f>
        <v>21:11</v>
      </c>
      <c r="Y40" s="27" t="str">
        <f>IF(SUM(AN43:AO43)=0,"",AN43&amp;":"&amp;AO43)</f>
        <v>21:19</v>
      </c>
      <c r="Z40" s="259" t="str">
        <f>IF(SUM(AX43:BA43)=0,"",BD43&amp;":"&amp;BE43)</f>
        <v>84:48</v>
      </c>
      <c r="AA40" s="264" t="str">
        <f>IF(SUM(AX43:BA43)=0,"",BF43&amp;":"&amp;BG43)</f>
        <v>4:0</v>
      </c>
      <c r="AB40" s="264" t="str">
        <f>IF(SUM(AX43:BA43)=0,"",BH43&amp;":"&amp;BI43)</f>
        <v>2:0</v>
      </c>
      <c r="AC40" s="267">
        <f>IF(SUM(BH43:BH45)&gt;0,BJ43,"")</f>
        <v>1</v>
      </c>
      <c r="AD40" s="2"/>
      <c r="AE40" s="22"/>
      <c r="AF40" s="22"/>
      <c r="AG40" s="28"/>
      <c r="AH40" s="270" t="s">
        <v>9</v>
      </c>
      <c r="AI40" s="270"/>
      <c r="AJ40" s="270"/>
      <c r="AK40" s="270"/>
      <c r="AL40" s="270"/>
      <c r="AM40" s="270"/>
      <c r="AN40" s="270" t="s">
        <v>10</v>
      </c>
      <c r="AO40" s="270"/>
      <c r="AP40" s="270"/>
      <c r="AQ40" s="270"/>
      <c r="AR40" s="270"/>
      <c r="AS40" s="270"/>
    </row>
    <row r="41" spans="9:59" ht="11.25" customHeight="1" thickBot="1">
      <c r="I41" s="2" t="str">
        <f>"1"&amp;O39&amp;N40</f>
        <v>14Beginners</v>
      </c>
      <c r="J41" s="29" t="str">
        <f>IF(AC40="","",IF(AC40=1,N41,IF(AC43=1,N44,IF(AC46=1,N47,""))))</f>
        <v>O0006</v>
      </c>
      <c r="K41" s="29">
        <f>IF(AC40="","",IF(AC40=1,N42,IF(AC43=1,N45,IF(AC46=1,N48,""))))</f>
        <v>0</v>
      </c>
      <c r="L41" s="29"/>
      <c r="N41" s="30" t="s">
        <v>26</v>
      </c>
      <c r="O41" s="31">
        <f>IF(O39&gt;0,(O39&amp;1)*1,"")</f>
        <v>41</v>
      </c>
      <c r="Q41" s="257"/>
      <c r="R41" s="257"/>
      <c r="S41" s="258"/>
      <c r="T41" s="260"/>
      <c r="U41" s="271" t="str">
        <f>IF(AND(N41&lt;&gt;"",N42=""),CONCATENATE(VLOOKUP(N41,'[1]zawodnicy'!$A:$E,1,FALSE)," ",VLOOKUP(N41,'[1]zawodnicy'!$A:$E,2,FALSE)," ",VLOOKUP(N41,'[1]zawodnicy'!$A:$E,3,FALSE)," - ",VLOOKUP(N41,'[1]zawodnicy'!$A:$E,4,FALSE)),"")</f>
        <v>O0006 Jessica ORZECHOWICZ - Tarnowiec</v>
      </c>
      <c r="V41" s="272"/>
      <c r="W41" s="32"/>
      <c r="X41" s="33" t="str">
        <f>IF(SUM(AP45:AQ45)=0,"",AP45&amp;":"&amp;AQ45)</f>
        <v>21:6</v>
      </c>
      <c r="Y41" s="34" t="str">
        <f>IF(SUM(AP43:AQ43)=0,"",AP43&amp;":"&amp;AQ43)</f>
        <v>21:12</v>
      </c>
      <c r="Z41" s="260"/>
      <c r="AA41" s="265"/>
      <c r="AB41" s="265"/>
      <c r="AC41" s="268"/>
      <c r="AD41" s="2"/>
      <c r="AE41" s="22"/>
      <c r="AF41" s="22"/>
      <c r="AG41" s="28"/>
      <c r="BD41" s="12">
        <f>SUM(BD43:BD45)</f>
        <v>196</v>
      </c>
      <c r="BE41" s="12">
        <f>SUM(BE43:BE45)</f>
        <v>196</v>
      </c>
      <c r="BF41" s="12">
        <f>SUM(BF43:BF45)</f>
        <v>6</v>
      </c>
      <c r="BG41" s="12">
        <f>SUM(BG43:BG45)</f>
        <v>6</v>
      </c>
    </row>
    <row r="42" spans="10:63" ht="11.25" customHeight="1" thickBot="1">
      <c r="J42" s="29"/>
      <c r="K42" s="23"/>
      <c r="L42" s="23"/>
      <c r="N42" s="35"/>
      <c r="O42" s="23"/>
      <c r="P42" s="23"/>
      <c r="Q42" s="257"/>
      <c r="R42" s="257"/>
      <c r="S42" s="258"/>
      <c r="T42" s="261"/>
      <c r="U42" s="273">
        <f>IF(N42&lt;&gt;"",CONCATENATE(VLOOKUP(N42,'[1]zawodnicy'!$A:$E,1,FALSE)," ",VLOOKUP(N42,'[1]zawodnicy'!$A:$E,2,FALSE)," ",VLOOKUP(N42,'[1]zawodnicy'!$A:$E,3,FALSE)," - ",VLOOKUP(N42,'[1]zawodnicy'!$A:$E,4,FALSE)),"")</f>
      </c>
      <c r="V42" s="274"/>
      <c r="W42" s="32"/>
      <c r="X42" s="36">
        <f>IF(SUM(AR45:AS45)=0,"",AR45&amp;":"&amp;AS45)</f>
      </c>
      <c r="Y42" s="37">
        <f>IF(SUM(AR43:AS43)=0,"",AR43&amp;":"&amp;AS43)</f>
      </c>
      <c r="Z42" s="261"/>
      <c r="AA42" s="266"/>
      <c r="AB42" s="266"/>
      <c r="AC42" s="269"/>
      <c r="AD42" s="2"/>
      <c r="AE42" s="22"/>
      <c r="AF42" s="22"/>
      <c r="AG42" s="28"/>
      <c r="AH42" s="275" t="s">
        <v>12</v>
      </c>
      <c r="AI42" s="276"/>
      <c r="AJ42" s="277" t="s">
        <v>13</v>
      </c>
      <c r="AK42" s="276"/>
      <c r="AL42" s="277" t="s">
        <v>14</v>
      </c>
      <c r="AM42" s="278"/>
      <c r="AN42" s="275" t="s">
        <v>12</v>
      </c>
      <c r="AO42" s="276"/>
      <c r="AP42" s="277" t="s">
        <v>13</v>
      </c>
      <c r="AQ42" s="276"/>
      <c r="AR42" s="277" t="s">
        <v>14</v>
      </c>
      <c r="AS42" s="276"/>
      <c r="AT42" s="22"/>
      <c r="AU42" s="22"/>
      <c r="AV42" s="275">
        <v>1</v>
      </c>
      <c r="AW42" s="276"/>
      <c r="AX42" s="277">
        <v>2</v>
      </c>
      <c r="AY42" s="276"/>
      <c r="AZ42" s="277">
        <v>3</v>
      </c>
      <c r="BA42" s="278"/>
      <c r="BD42" s="275" t="s">
        <v>3</v>
      </c>
      <c r="BE42" s="278"/>
      <c r="BF42" s="275" t="s">
        <v>4</v>
      </c>
      <c r="BG42" s="278"/>
      <c r="BH42" s="275" t="s">
        <v>5</v>
      </c>
      <c r="BI42" s="278"/>
      <c r="BJ42" s="38" t="s">
        <v>6</v>
      </c>
      <c r="BK42" s="13">
        <f>SUM(BK43:BK45)</f>
        <v>-1.229485263598562E-16</v>
      </c>
    </row>
    <row r="43" spans="1:63" ht="11.25" customHeight="1">
      <c r="A43" s="12">
        <f>S43</f>
        <v>4</v>
      </c>
      <c r="B43" s="2" t="str">
        <f>IF(N41="","",N41)</f>
        <v>O0006</v>
      </c>
      <c r="C43" s="2">
        <f>IF(N42="","",N42)</f>
      </c>
      <c r="D43" s="2" t="str">
        <f>IF(N47="","",N47)</f>
        <v>M0029</v>
      </c>
      <c r="E43" s="2">
        <f>IF(N48="","",N48)</f>
      </c>
      <c r="I43" s="2" t="str">
        <f>"2"&amp;O39&amp;N40</f>
        <v>24Beginners</v>
      </c>
      <c r="J43" s="29" t="str">
        <f>IF(AC43="","",IF(AC40=2,N41,IF(AC43=2,N44,IF(AC46=2,N47,""))))</f>
        <v>M0029</v>
      </c>
      <c r="K43" s="29">
        <f>IF(AC43="","",IF(AC40=2,N42,IF(AC43=2,N45,IF(AC46=2,N48,""))))</f>
        <v>0</v>
      </c>
      <c r="M43" s="39" t="str">
        <f>N40</f>
        <v>Beginners</v>
      </c>
      <c r="O43" s="23"/>
      <c r="P43" s="23"/>
      <c r="Q43" s="40">
        <f>IF(AT43&gt;0,"",IF(A43=0,"",IF(VLOOKUP(A43,'[1]plan gier'!A:S,19,FALSE)="","",VLOOKUP(A43,'[1]plan gier'!A:S,19,FALSE))))</f>
      </c>
      <c r="R43" s="41" t="s">
        <v>15</v>
      </c>
      <c r="S43" s="42">
        <v>4</v>
      </c>
      <c r="T43" s="279">
        <v>2</v>
      </c>
      <c r="U43" s="280">
        <f>IF(AND(N44&lt;&gt;"",N45&lt;&gt;""),CONCATENATE(VLOOKUP(N44,'[1]zawodnicy'!$A:$E,1,FALSE)," ",VLOOKUP(N44,'[1]zawodnicy'!$A:$E,2,FALSE)," ",VLOOKUP(N44,'[1]zawodnicy'!$A:$E,3,FALSE)," - ",VLOOKUP(N44,'[1]zawodnicy'!$A:$E,4,FALSE)),"")</f>
      </c>
      <c r="V43" s="281"/>
      <c r="W43" s="43" t="str">
        <f>IF(SUM(AN45:AO45)=0,"",AO45&amp;":"&amp;AN45)</f>
        <v>11:21</v>
      </c>
      <c r="X43" s="44"/>
      <c r="Y43" s="45" t="str">
        <f>IF(SUM(AN44:AO44)=0,"",AN44&amp;":"&amp;AO44)</f>
        <v>10:21</v>
      </c>
      <c r="Z43" s="279" t="str">
        <f>IF(SUM(AV44:AW44,AZ44:BA44)=0,"",BD44&amp;":"&amp;BE44)</f>
        <v>39:84</v>
      </c>
      <c r="AA43" s="282" t="str">
        <f>IF(SUM(AV44:AW44,AZ44:BA44)=0,"",BF44&amp;":"&amp;BG44)</f>
        <v>0:4</v>
      </c>
      <c r="AB43" s="282" t="str">
        <f>IF(SUM(AV44:AW44,AZ44:BA44)=0,"",BH44&amp;":"&amp;BI44)</f>
        <v>0:2</v>
      </c>
      <c r="AC43" s="283">
        <f>IF(SUM(BH43:BH45)&gt;0,BJ44,"")</f>
        <v>3</v>
      </c>
      <c r="AD43" s="2"/>
      <c r="AE43" s="22"/>
      <c r="AF43" s="22"/>
      <c r="AG43" s="41" t="s">
        <v>15</v>
      </c>
      <c r="AH43" s="46">
        <f>IF(ISBLANK(S43),"",VLOOKUP(S43,'[1]plan gier'!$X:$AN,12,FALSE))</f>
        <v>21</v>
      </c>
      <c r="AI43" s="47">
        <f>IF(ISBLANK(S43),"",VLOOKUP(S43,'[1]plan gier'!$X:$AN,13,FALSE))</f>
        <v>19</v>
      </c>
      <c r="AJ43" s="47">
        <f>IF(ISBLANK(S43),"",VLOOKUP(S43,'[1]plan gier'!$X:$AN,14,FALSE))</f>
        <v>21</v>
      </c>
      <c r="AK43" s="47">
        <f>IF(ISBLANK(S43),"",VLOOKUP(S43,'[1]plan gier'!$X:$AN,15,FALSE))</f>
        <v>12</v>
      </c>
      <c r="AL43" s="47">
        <f>IF(ISBLANK(S43),"",VLOOKUP(S43,'[1]plan gier'!$X:$AN,16,FALSE))</f>
        <v>0</v>
      </c>
      <c r="AM43" s="47">
        <f>IF(ISBLANK(S43),"",VLOOKUP(S43,'[1]plan gier'!$X:$AN,17,FALSE))</f>
        <v>0</v>
      </c>
      <c r="AN43" s="48">
        <f aca="true" t="shared" si="3" ref="AN43:AS45">IF(AH43="",0,AH43)</f>
        <v>21</v>
      </c>
      <c r="AO43" s="49">
        <f t="shared" si="3"/>
        <v>19</v>
      </c>
      <c r="AP43" s="50">
        <f t="shared" si="3"/>
        <v>21</v>
      </c>
      <c r="AQ43" s="49">
        <f t="shared" si="3"/>
        <v>12</v>
      </c>
      <c r="AR43" s="50">
        <f t="shared" si="3"/>
        <v>0</v>
      </c>
      <c r="AS43" s="49">
        <f t="shared" si="3"/>
        <v>0</v>
      </c>
      <c r="AT43" s="51">
        <f>SUM(AN43:AS43)</f>
        <v>73</v>
      </c>
      <c r="AU43" s="52">
        <v>1</v>
      </c>
      <c r="AV43" s="53"/>
      <c r="AW43" s="54"/>
      <c r="AX43" s="47">
        <f>IF(AH45&gt;AI45,1,0)+IF(AJ45&gt;AK45,1,0)+IF(AL45&gt;AM45,1,0)</f>
        <v>2</v>
      </c>
      <c r="AY43" s="47">
        <f>AV44</f>
        <v>0</v>
      </c>
      <c r="AZ43" s="47">
        <f>IF(AH43&gt;AI43,1,0)+IF(AJ43&gt;AK43,1,0)+IF(AL43&gt;AM43,1,0)</f>
        <v>2</v>
      </c>
      <c r="BA43" s="55">
        <f>AV45</f>
        <v>0</v>
      </c>
      <c r="BD43" s="46">
        <f>AN43+AP43+AR43+AN45+AP45+AR45</f>
        <v>84</v>
      </c>
      <c r="BE43" s="55">
        <f>AO43+AQ43+AS43+AO45+AQ45+AS45</f>
        <v>48</v>
      </c>
      <c r="BF43" s="46">
        <f>AX43+AZ43</f>
        <v>4</v>
      </c>
      <c r="BG43" s="55">
        <f>AY43+BA43</f>
        <v>0</v>
      </c>
      <c r="BH43" s="46">
        <f>IF(AX43&gt;AY43,1,0)+IF(AZ43&gt;BA43,1,0)</f>
        <v>2</v>
      </c>
      <c r="BI43" s="56">
        <f>IF(AY43&gt;AX43,1,0)+IF(BA43&gt;AZ43,1,0)</f>
        <v>0</v>
      </c>
      <c r="BJ43" s="57">
        <f>IF(BH43+BI43=0,"",IF(BK43=MAX(BK43:BK45),1,IF(BK43=MIN(BK43:BK45),3,2)))</f>
        <v>1</v>
      </c>
      <c r="BK43" s="13">
        <f>IF(BH43+BI43&lt;&gt;0,BH43-BI43+(BF43-BG43)/100+(BD43-BE43)/10000,-2)</f>
        <v>2.0436</v>
      </c>
    </row>
    <row r="44" spans="1:63" ht="11.25" customHeight="1">
      <c r="A44" s="12">
        <f>S44</f>
        <v>10</v>
      </c>
      <c r="B44" s="2" t="str">
        <f>IF(N44="","",N44)</f>
        <v>R0015</v>
      </c>
      <c r="C44" s="2">
        <f>IF(N45="","",N45)</f>
      </c>
      <c r="D44" s="2" t="str">
        <f>IF(N47="","",N47)</f>
        <v>M0029</v>
      </c>
      <c r="E44" s="2">
        <f>IF(N48="","",N48)</f>
      </c>
      <c r="J44" s="29"/>
      <c r="K44" s="12"/>
      <c r="M44" s="39" t="str">
        <f>N40</f>
        <v>Beginners</v>
      </c>
      <c r="N44" s="30" t="s">
        <v>27</v>
      </c>
      <c r="O44" s="31">
        <f>IF(O39&gt;0,(O39&amp;2)*1,"")</f>
        <v>42</v>
      </c>
      <c r="Q44" s="40">
        <f>IF(AT44&gt;0,"",IF(A44=0,"",IF(VLOOKUP(A44,'[1]plan gier'!A:S,19,FALSE)="","",VLOOKUP(A44,'[1]plan gier'!A:S,19,FALSE))))</f>
      </c>
      <c r="R44" s="41" t="s">
        <v>17</v>
      </c>
      <c r="S44" s="42">
        <v>10</v>
      </c>
      <c r="T44" s="260"/>
      <c r="U44" s="271" t="str">
        <f>IF(AND(N44&lt;&gt;"",N45=""),CONCATENATE(VLOOKUP(N44,'[1]zawodnicy'!$A:$E,1,FALSE)," ",VLOOKUP(N44,'[1]zawodnicy'!$A:$E,2,FALSE)," ",VLOOKUP(N44,'[1]zawodnicy'!$A:$E,3,FALSE)," - ",VLOOKUP(N44,'[1]zawodnicy'!$A:$E,4,FALSE)),"")</f>
        <v>R0015 Oskar RADZAJ - Mielec</v>
      </c>
      <c r="V44" s="272"/>
      <c r="W44" s="58" t="str">
        <f>IF(SUM(AP45:AQ45)=0,"",AQ45&amp;":"&amp;AP45)</f>
        <v>6:21</v>
      </c>
      <c r="X44" s="59"/>
      <c r="Y44" s="34" t="str">
        <f>IF(SUM(AP44:AQ44)=0,"",AP44&amp;":"&amp;AQ44)</f>
        <v>12:21</v>
      </c>
      <c r="Z44" s="260"/>
      <c r="AA44" s="265"/>
      <c r="AB44" s="265"/>
      <c r="AC44" s="268"/>
      <c r="AD44" s="2"/>
      <c r="AE44" s="22"/>
      <c r="AF44" s="22"/>
      <c r="AG44" s="41" t="s">
        <v>17</v>
      </c>
      <c r="AH44" s="60">
        <f>IF(ISBLANK(S44),"",VLOOKUP(S44,'[1]plan gier'!$X:$AN,12,FALSE))</f>
        <v>10</v>
      </c>
      <c r="AI44" s="61">
        <f>IF(ISBLANK(S44),"",VLOOKUP(S44,'[1]plan gier'!$X:$AN,13,FALSE))</f>
        <v>21</v>
      </c>
      <c r="AJ44" s="61">
        <f>IF(ISBLANK(S44),"",VLOOKUP(S44,'[1]plan gier'!$X:$AN,14,FALSE))</f>
        <v>12</v>
      </c>
      <c r="AK44" s="61">
        <f>IF(ISBLANK(S44),"",VLOOKUP(S44,'[1]plan gier'!$X:$AN,15,FALSE))</f>
        <v>21</v>
      </c>
      <c r="AL44" s="61">
        <f>IF(ISBLANK(S44),"",VLOOKUP(S44,'[1]plan gier'!$X:$AN,16,FALSE))</f>
        <v>0</v>
      </c>
      <c r="AM44" s="61">
        <f>IF(ISBLANK(S44),"",VLOOKUP(S44,'[1]plan gier'!$X:$AN,17,FALSE))</f>
        <v>0</v>
      </c>
      <c r="AN44" s="62">
        <f t="shared" si="3"/>
        <v>10</v>
      </c>
      <c r="AO44" s="61">
        <f t="shared" si="3"/>
        <v>21</v>
      </c>
      <c r="AP44" s="63">
        <f t="shared" si="3"/>
        <v>12</v>
      </c>
      <c r="AQ44" s="61">
        <f t="shared" si="3"/>
        <v>21</v>
      </c>
      <c r="AR44" s="63">
        <f t="shared" si="3"/>
        <v>0</v>
      </c>
      <c r="AS44" s="61">
        <f t="shared" si="3"/>
        <v>0</v>
      </c>
      <c r="AT44" s="51">
        <f>SUM(AN44:AS44)</f>
        <v>64</v>
      </c>
      <c r="AU44" s="52">
        <v>2</v>
      </c>
      <c r="AV44" s="60">
        <f>IF(AH45&lt;AI45,1,0)+IF(AJ45&lt;AK45,1,0)+IF(AL45&lt;AM45,1,0)</f>
        <v>0</v>
      </c>
      <c r="AW44" s="61">
        <f>AX43</f>
        <v>2</v>
      </c>
      <c r="AX44" s="64"/>
      <c r="AY44" s="65"/>
      <c r="AZ44" s="61">
        <f>IF(AH44&gt;AI44,1,0)+IF(AJ44&gt;AK44,1,0)+IF(AL44&gt;AM44,1,0)</f>
        <v>0</v>
      </c>
      <c r="BA44" s="66">
        <f>AX45</f>
        <v>2</v>
      </c>
      <c r="BD44" s="60">
        <f>AN44+AP44+AR44+AO45+AQ45+AS45</f>
        <v>39</v>
      </c>
      <c r="BE44" s="66">
        <f>AO44+AQ44+AS44+AN45+AP45+AR45</f>
        <v>84</v>
      </c>
      <c r="BF44" s="60">
        <f>AV44+AZ44</f>
        <v>0</v>
      </c>
      <c r="BG44" s="66">
        <f>AW44+BA44</f>
        <v>4</v>
      </c>
      <c r="BH44" s="60">
        <f>IF(AV44&gt;AW44,1,0)+IF(AZ44&gt;BA44,1,0)</f>
        <v>0</v>
      </c>
      <c r="BI44" s="67">
        <f>IF(AW44&gt;AV44,1,0)+IF(BA44&gt;AZ44,1,0)</f>
        <v>2</v>
      </c>
      <c r="BJ44" s="68">
        <f>IF(BH44+BI44=0,"",IF(BK44=MAX(BK43:BK45),1,IF(BK44=MIN(BK43:BK45),3,2)))</f>
        <v>3</v>
      </c>
      <c r="BK44" s="13">
        <f>IF(BH44+BI44&lt;&gt;0,BH44-BI44+(BF44-BG44)/100+(BD44-BE44)/10000,-2)</f>
        <v>-2.0445</v>
      </c>
    </row>
    <row r="45" spans="1:63" ht="11.25" customHeight="1" thickBot="1">
      <c r="A45" s="12">
        <f>S45</f>
        <v>16</v>
      </c>
      <c r="B45" s="2" t="str">
        <f>IF(N41="","",N41)</f>
        <v>O0006</v>
      </c>
      <c r="C45" s="2">
        <f>IF(N42="","",N42)</f>
      </c>
      <c r="D45" s="2" t="str">
        <f>IF(N44="","",N44)</f>
        <v>R0015</v>
      </c>
      <c r="E45" s="2">
        <f>IF(N45="","",N45)</f>
      </c>
      <c r="I45" s="2" t="str">
        <f>"3"&amp;O39&amp;N40</f>
        <v>34Beginners</v>
      </c>
      <c r="J45" s="29" t="str">
        <f>IF(AC46="","",IF(AC40=3,N41,IF(AC43=3,N44,IF(AC46=3,N47,""))))</f>
        <v>R0015</v>
      </c>
      <c r="K45" s="29">
        <f>IF(AC46="","",IF(AC40=3,N42,IF(AC43=3,N45,IF(AC46=3,N48,""))))</f>
        <v>0</v>
      </c>
      <c r="M45" s="39" t="str">
        <f>N40</f>
        <v>Beginners</v>
      </c>
      <c r="N45" s="35"/>
      <c r="O45" s="23"/>
      <c r="P45" s="23"/>
      <c r="Q45" s="40">
        <f>IF(AT45&gt;0,"",IF(A45=0,"",IF(VLOOKUP(A45,'[1]plan gier'!A:S,19,FALSE)="","",VLOOKUP(A45,'[1]plan gier'!A:S,19,FALSE))))</f>
      </c>
      <c r="R45" s="69" t="s">
        <v>18</v>
      </c>
      <c r="S45" s="42">
        <v>16</v>
      </c>
      <c r="T45" s="261"/>
      <c r="U45" s="273">
        <f>IF(N45&lt;&gt;"",CONCATENATE(VLOOKUP(N45,'[1]zawodnicy'!$A:$E,1,FALSE)," ",VLOOKUP(N45,'[1]zawodnicy'!$A:$E,2,FALSE)," ",VLOOKUP(N45,'[1]zawodnicy'!$A:$E,3,FALSE)," - ",VLOOKUP(N45,'[1]zawodnicy'!$A:$E,4,FALSE)),"")</f>
      </c>
      <c r="V45" s="274"/>
      <c r="W45" s="70">
        <f>IF(SUM(AR45:AS45)=0,"",AS45&amp;":"&amp;AR45)</f>
      </c>
      <c r="X45" s="59"/>
      <c r="Y45" s="37">
        <f>IF(SUM(AR44:AS44)=0,"",AR44&amp;":"&amp;AS44)</f>
      </c>
      <c r="Z45" s="261"/>
      <c r="AA45" s="266"/>
      <c r="AB45" s="266"/>
      <c r="AC45" s="269"/>
      <c r="AD45" s="2"/>
      <c r="AE45" s="22"/>
      <c r="AF45" s="22"/>
      <c r="AG45" s="69" t="s">
        <v>18</v>
      </c>
      <c r="AH45" s="71">
        <f>IF(ISBLANK(S45),"",VLOOKUP(S45,'[1]plan gier'!$X:$AN,12,FALSE))</f>
        <v>21</v>
      </c>
      <c r="AI45" s="72">
        <f>IF(ISBLANK(S45),"",VLOOKUP(S45,'[1]plan gier'!$X:$AN,13,FALSE))</f>
        <v>11</v>
      </c>
      <c r="AJ45" s="72">
        <f>IF(ISBLANK(S45),"",VLOOKUP(S45,'[1]plan gier'!$X:$AN,14,FALSE))</f>
        <v>21</v>
      </c>
      <c r="AK45" s="72">
        <f>IF(ISBLANK(S45),"",VLOOKUP(S45,'[1]plan gier'!$X:$AN,15,FALSE))</f>
        <v>6</v>
      </c>
      <c r="AL45" s="72">
        <f>IF(ISBLANK(S45),"",VLOOKUP(S45,'[1]plan gier'!$X:$AN,16,FALSE))</f>
        <v>0</v>
      </c>
      <c r="AM45" s="72">
        <f>IF(ISBLANK(S45),"",VLOOKUP(S45,'[1]plan gier'!$X:$AN,17,FALSE))</f>
        <v>0</v>
      </c>
      <c r="AN45" s="73">
        <f t="shared" si="3"/>
        <v>21</v>
      </c>
      <c r="AO45" s="72">
        <f t="shared" si="3"/>
        <v>11</v>
      </c>
      <c r="AP45" s="74">
        <f t="shared" si="3"/>
        <v>21</v>
      </c>
      <c r="AQ45" s="72">
        <f t="shared" si="3"/>
        <v>6</v>
      </c>
      <c r="AR45" s="74">
        <f t="shared" si="3"/>
        <v>0</v>
      </c>
      <c r="AS45" s="72">
        <f t="shared" si="3"/>
        <v>0</v>
      </c>
      <c r="AT45" s="51">
        <f>SUM(AN45:AS45)</f>
        <v>59</v>
      </c>
      <c r="AU45" s="52">
        <v>3</v>
      </c>
      <c r="AV45" s="71">
        <f>IF(AH43&lt;AI43,1,0)+IF(AJ43&lt;AK43,1,0)+IF(AL43&lt;AM43,1,0)</f>
        <v>0</v>
      </c>
      <c r="AW45" s="72">
        <f>AZ43</f>
        <v>2</v>
      </c>
      <c r="AX45" s="72">
        <f>IF(AH44&lt;AI44,1,0)+IF(AJ44&lt;AK44,1,0)+IF(AL44&lt;AM44,1,0)</f>
        <v>2</v>
      </c>
      <c r="AY45" s="72">
        <f>AZ44</f>
        <v>0</v>
      </c>
      <c r="AZ45" s="75"/>
      <c r="BA45" s="76"/>
      <c r="BD45" s="71">
        <f>AO43+AQ43+AS43+AO44+AQ44+AS44</f>
        <v>73</v>
      </c>
      <c r="BE45" s="77">
        <f>AN43+AP43+AR43+AN44+AP44+AR44</f>
        <v>64</v>
      </c>
      <c r="BF45" s="71">
        <f>AV45+AX45</f>
        <v>2</v>
      </c>
      <c r="BG45" s="77">
        <f>AW45+AY45</f>
        <v>2</v>
      </c>
      <c r="BH45" s="71">
        <f>IF(AV45&gt;AW45,1,0)+IF(AX45&gt;AY45,1,0)</f>
        <v>1</v>
      </c>
      <c r="BI45" s="78">
        <f>IF(AW45&gt;AV45,1,0)+IF(AY45&gt;AX45,1,0)</f>
        <v>1</v>
      </c>
      <c r="BJ45" s="79">
        <f>IF(BH45+BI45=0,"",IF(BK45=MAX(BK43:BK45),1,IF(BK45=MIN(BK43:BK45),3,2)))</f>
        <v>2</v>
      </c>
      <c r="BK45" s="13">
        <f>IF(BH45+BI45&lt;&gt;0,BH45-BI45+(BF45-BG45)/100+(BD45-BE45)/10000,-2)</f>
        <v>0.0009</v>
      </c>
    </row>
    <row r="46" spans="1:59" ht="11.25" customHeight="1">
      <c r="A46" s="2"/>
      <c r="J46" s="23"/>
      <c r="K46" s="23"/>
      <c r="L46" s="23"/>
      <c r="O46" s="23"/>
      <c r="P46" s="23"/>
      <c r="Q46" s="2"/>
      <c r="R46" s="2"/>
      <c r="S46" s="2"/>
      <c r="T46" s="279">
        <v>3</v>
      </c>
      <c r="U46" s="280">
        <f>IF(AND(N47&lt;&gt;"",N48&lt;&gt;""),CONCATENATE(VLOOKUP(N47,'[1]zawodnicy'!$A:$E,1,FALSE)," ",VLOOKUP(N47,'[1]zawodnicy'!$A:$E,2,FALSE)," ",VLOOKUP(N47,'[1]zawodnicy'!$A:$E,3,FALSE)," - ",VLOOKUP(N47,'[1]zawodnicy'!$A:$E,4,FALSE)),"")</f>
      </c>
      <c r="V46" s="281"/>
      <c r="W46" s="43" t="str">
        <f>IF(SUM(AN43:AO43)=0,"",AO43&amp;":"&amp;AN43)</f>
        <v>19:21</v>
      </c>
      <c r="X46" s="80" t="str">
        <f>IF(SUM(AN44:AO44)=0,"",AO44&amp;":"&amp;AN44)</f>
        <v>21:10</v>
      </c>
      <c r="Y46" s="81"/>
      <c r="Z46" s="279" t="str">
        <f>IF(SUM(AV45:AY45)=0,"",BD45&amp;":"&amp;BE45)</f>
        <v>73:64</v>
      </c>
      <c r="AA46" s="282" t="str">
        <f>IF(SUM(AV45:AY45)=0,"",BF45&amp;":"&amp;BG45)</f>
        <v>2:2</v>
      </c>
      <c r="AB46" s="282" t="str">
        <f>IF(SUM(AV45:AY45)=0,"",BH45&amp;":"&amp;BI45)</f>
        <v>1:1</v>
      </c>
      <c r="AC46" s="283">
        <f>IF(SUM(BH43:BH45)&gt;0,BJ45,"")</f>
        <v>2</v>
      </c>
      <c r="AD46" s="2"/>
      <c r="AE46" s="22"/>
      <c r="AF46" s="22"/>
      <c r="BD46" s="12">
        <f>SUM(BD43:BD45)</f>
        <v>196</v>
      </c>
      <c r="BE46" s="12">
        <f>SUM(BE43:BE45)</f>
        <v>196</v>
      </c>
      <c r="BF46" s="12">
        <f>SUM(BF43:BF45)</f>
        <v>6</v>
      </c>
      <c r="BG46" s="12">
        <f>SUM(BG43:BG45)</f>
        <v>6</v>
      </c>
    </row>
    <row r="47" spans="1:63" ht="11.25" customHeight="1">
      <c r="A47" s="12"/>
      <c r="J47" s="12"/>
      <c r="K47" s="12"/>
      <c r="L47" s="12"/>
      <c r="N47" s="30" t="s">
        <v>28</v>
      </c>
      <c r="O47" s="31">
        <f>IF(O39&gt;0,(O39&amp;3)*1,"")</f>
        <v>43</v>
      </c>
      <c r="Q47" s="82"/>
      <c r="R47" s="82"/>
      <c r="S47" s="42"/>
      <c r="T47" s="260"/>
      <c r="U47" s="271" t="str">
        <f>IF(AND(N47&lt;&gt;"",N48=""),CONCATENATE(VLOOKUP(N47,'[1]zawodnicy'!$A:$E,1,FALSE)," ",VLOOKUP(N47,'[1]zawodnicy'!$A:$E,2,FALSE)," ",VLOOKUP(N47,'[1]zawodnicy'!$A:$E,3,FALSE)," - ",VLOOKUP(N47,'[1]zawodnicy'!$A:$E,4,FALSE)),"")</f>
        <v>M0029 Mateusz MYSZKA - Żupawa</v>
      </c>
      <c r="V47" s="272"/>
      <c r="W47" s="58" t="str">
        <f>IF(SUM(AP43:AQ43)=0,"",AQ43&amp;":"&amp;AP43)</f>
        <v>12:21</v>
      </c>
      <c r="X47" s="33" t="str">
        <f>IF(SUM(AP44:AQ44)=0,"",AQ44&amp;":"&amp;AP44)</f>
        <v>21:12</v>
      </c>
      <c r="Y47" s="83"/>
      <c r="Z47" s="260"/>
      <c r="AA47" s="265"/>
      <c r="AB47" s="265"/>
      <c r="AC47" s="268"/>
      <c r="AD47" s="2"/>
      <c r="AE47" s="22"/>
      <c r="AF47" s="2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1.25" customHeight="1" thickBot="1">
      <c r="A48" s="2"/>
      <c r="J48" s="23"/>
      <c r="K48" s="23"/>
      <c r="L48" s="23"/>
      <c r="N48" s="35"/>
      <c r="O48" s="23"/>
      <c r="P48" s="23"/>
      <c r="Q48" s="2"/>
      <c r="R48" s="2"/>
      <c r="S48" s="2"/>
      <c r="T48" s="284"/>
      <c r="U48" s="287">
        <f>IF(N48&lt;&gt;"",CONCATENATE(VLOOKUP(N48,'[1]zawodnicy'!$A:$E,1,FALSE)," ",VLOOKUP(N48,'[1]zawodnicy'!$A:$E,2,FALSE)," ",VLOOKUP(N48,'[1]zawodnicy'!$A:$E,3,FALSE)," - ",VLOOKUP(N48,'[1]zawodnicy'!$A:$E,4,FALSE)),"")</f>
      </c>
      <c r="V48" s="288"/>
      <c r="W48" s="84">
        <f>IF(SUM(AR43:AS43)=0,"",AS43&amp;":"&amp;AR43)</f>
      </c>
      <c r="X48" s="85">
        <f>IF(SUM(AR44:AS44)=0,"",AS44&amp;":"&amp;AR44)</f>
      </c>
      <c r="Y48" s="86"/>
      <c r="Z48" s="284"/>
      <c r="AA48" s="285"/>
      <c r="AB48" s="285"/>
      <c r="AC48" s="286"/>
      <c r="AD48" s="29"/>
      <c r="AE48" s="22"/>
      <c r="AF48" s="2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ht="11.25" customHeight="1" thickBot="1"/>
    <row r="50" spans="14:32" ht="11.25" customHeight="1" thickBot="1">
      <c r="N50" s="8"/>
      <c r="O50" s="14">
        <v>5</v>
      </c>
      <c r="Q50" s="253" t="str">
        <f>"Grupa "&amp;O50&amp;"."</f>
        <v>Grupa 5.</v>
      </c>
      <c r="R50" s="253"/>
      <c r="S50" s="254"/>
      <c r="T50" s="15" t="s">
        <v>1</v>
      </c>
      <c r="U50" s="255" t="s">
        <v>2</v>
      </c>
      <c r="V50" s="256"/>
      <c r="W50" s="15">
        <v>1</v>
      </c>
      <c r="X50" s="17">
        <v>2</v>
      </c>
      <c r="Y50" s="18">
        <v>3</v>
      </c>
      <c r="Z50" s="19" t="s">
        <v>3</v>
      </c>
      <c r="AA50" s="20" t="s">
        <v>4</v>
      </c>
      <c r="AB50" s="20" t="s">
        <v>5</v>
      </c>
      <c r="AC50" s="21" t="s">
        <v>6</v>
      </c>
      <c r="AD50" s="2"/>
      <c r="AE50" s="22"/>
      <c r="AF50" s="22"/>
    </row>
    <row r="51" spans="10:45" ht="11.25" customHeight="1">
      <c r="J51" s="23"/>
      <c r="K51" s="23"/>
      <c r="L51" s="23"/>
      <c r="N51" s="24" t="s">
        <v>0</v>
      </c>
      <c r="Q51" s="257" t="s">
        <v>7</v>
      </c>
      <c r="R51" s="257"/>
      <c r="S51" s="258" t="s">
        <v>8</v>
      </c>
      <c r="T51" s="259">
        <v>1</v>
      </c>
      <c r="U51" s="262">
        <f>IF(AND(N52&lt;&gt;"",N53&lt;&gt;""),CONCATENATE(VLOOKUP(N52,'[1]zawodnicy'!$A:$E,1,FALSE)," ",VLOOKUP(N52,'[1]zawodnicy'!$A:$E,2,FALSE)," ",VLOOKUP(N52,'[1]zawodnicy'!$A:$E,3,FALSE)," - ",VLOOKUP(N52,'[1]zawodnicy'!$A:$E,4,FALSE)),"")</f>
      </c>
      <c r="V51" s="263"/>
      <c r="W51" s="25"/>
      <c r="X51" s="26" t="str">
        <f>IF(SUM(AN56:AO56)=0,"",AN56&amp;":"&amp;AO56)</f>
        <v>5:21</v>
      </c>
      <c r="Y51" s="27" t="str">
        <f>IF(SUM(AN54:AO54)=0,"",AN54&amp;":"&amp;AO54)</f>
        <v>10:21</v>
      </c>
      <c r="Z51" s="259" t="str">
        <f>IF(SUM(AX54:BA54)=0,"",BD54&amp;":"&amp;BE54)</f>
        <v>30:84</v>
      </c>
      <c r="AA51" s="264" t="str">
        <f>IF(SUM(AX54:BA54)=0,"",BF54&amp;":"&amp;BG54)</f>
        <v>0:4</v>
      </c>
      <c r="AB51" s="264" t="str">
        <f>IF(SUM(AX54:BA54)=0,"",BH54&amp;":"&amp;BI54)</f>
        <v>0:2</v>
      </c>
      <c r="AC51" s="267">
        <f>IF(SUM(BH54:BH56)&gt;0,BJ54,"")</f>
        <v>3</v>
      </c>
      <c r="AD51" s="2"/>
      <c r="AE51" s="22"/>
      <c r="AF51" s="22"/>
      <c r="AG51" s="28"/>
      <c r="AH51" s="270" t="s">
        <v>9</v>
      </c>
      <c r="AI51" s="270"/>
      <c r="AJ51" s="270"/>
      <c r="AK51" s="270"/>
      <c r="AL51" s="270"/>
      <c r="AM51" s="270"/>
      <c r="AN51" s="270" t="s">
        <v>10</v>
      </c>
      <c r="AO51" s="270"/>
      <c r="AP51" s="270"/>
      <c r="AQ51" s="270"/>
      <c r="AR51" s="270"/>
      <c r="AS51" s="270"/>
    </row>
    <row r="52" spans="9:59" ht="11.25" customHeight="1" thickBot="1">
      <c r="I52" s="2" t="str">
        <f>"1"&amp;O50&amp;N51</f>
        <v>15Beginners</v>
      </c>
      <c r="J52" s="29" t="str">
        <f>IF(AC51="","",IF(AC51=1,N52,IF(AC54=1,N55,IF(AC57=1,N58,""))))</f>
        <v>B0020</v>
      </c>
      <c r="K52" s="29">
        <f>IF(AC51="","",IF(AC51=1,N53,IF(AC54=1,N56,IF(AC57=1,N59,""))))</f>
        <v>0</v>
      </c>
      <c r="L52" s="29"/>
      <c r="N52" s="30" t="s">
        <v>29</v>
      </c>
      <c r="O52" s="31">
        <f>IF(O50&gt;0,(O50&amp;1)*1,"")</f>
        <v>51</v>
      </c>
      <c r="Q52" s="257"/>
      <c r="R52" s="257"/>
      <c r="S52" s="258"/>
      <c r="T52" s="260"/>
      <c r="U52" s="271" t="str">
        <f>IF(AND(N52&lt;&gt;"",N53=""),CONCATENATE(VLOOKUP(N52,'[1]zawodnicy'!$A:$E,1,FALSE)," ",VLOOKUP(N52,'[1]zawodnicy'!$A:$E,2,FALSE)," ",VLOOKUP(N52,'[1]zawodnicy'!$A:$E,3,FALSE)," - ",VLOOKUP(N52,'[1]zawodnicy'!$A:$E,4,FALSE)),"")</f>
        <v>H0006 Natalia HAŁATA - Mielec</v>
      </c>
      <c r="V52" s="272"/>
      <c r="W52" s="32"/>
      <c r="X52" s="33" t="str">
        <f>IF(SUM(AP56:AQ56)=0,"",AP56&amp;":"&amp;AQ56)</f>
        <v>12:21</v>
      </c>
      <c r="Y52" s="34" t="str">
        <f>IF(SUM(AP54:AQ54)=0,"",AP54&amp;":"&amp;AQ54)</f>
        <v>3:21</v>
      </c>
      <c r="Z52" s="260"/>
      <c r="AA52" s="265"/>
      <c r="AB52" s="265"/>
      <c r="AC52" s="268"/>
      <c r="AD52" s="2"/>
      <c r="AE52" s="22"/>
      <c r="AF52" s="22"/>
      <c r="AG52" s="28"/>
      <c r="BD52" s="12">
        <f>SUM(BD54:BD56)</f>
        <v>197</v>
      </c>
      <c r="BE52" s="12">
        <f>SUM(BE54:BE56)</f>
        <v>197</v>
      </c>
      <c r="BF52" s="12">
        <f>SUM(BF54:BF56)</f>
        <v>6</v>
      </c>
      <c r="BG52" s="12">
        <f>SUM(BG54:BG56)</f>
        <v>6</v>
      </c>
    </row>
    <row r="53" spans="10:63" ht="11.25" customHeight="1" thickBot="1">
      <c r="J53" s="29"/>
      <c r="K53" s="23"/>
      <c r="L53" s="23"/>
      <c r="N53" s="35"/>
      <c r="O53" s="23"/>
      <c r="P53" s="23"/>
      <c r="Q53" s="257"/>
      <c r="R53" s="257"/>
      <c r="S53" s="258"/>
      <c r="T53" s="261"/>
      <c r="U53" s="273">
        <f>IF(N53&lt;&gt;"",CONCATENATE(VLOOKUP(N53,'[1]zawodnicy'!$A:$E,1,FALSE)," ",VLOOKUP(N53,'[1]zawodnicy'!$A:$E,2,FALSE)," ",VLOOKUP(N53,'[1]zawodnicy'!$A:$E,3,FALSE)," - ",VLOOKUP(N53,'[1]zawodnicy'!$A:$E,4,FALSE)),"")</f>
      </c>
      <c r="V53" s="274"/>
      <c r="W53" s="32"/>
      <c r="X53" s="36">
        <f>IF(SUM(AR56:AS56)=0,"",AR56&amp;":"&amp;AS56)</f>
      </c>
      <c r="Y53" s="37">
        <f>IF(SUM(AR54:AS54)=0,"",AR54&amp;":"&amp;AS54)</f>
      </c>
      <c r="Z53" s="261"/>
      <c r="AA53" s="266"/>
      <c r="AB53" s="266"/>
      <c r="AC53" s="269"/>
      <c r="AD53" s="2"/>
      <c r="AE53" s="22"/>
      <c r="AF53" s="22"/>
      <c r="AG53" s="28"/>
      <c r="AH53" s="275" t="s">
        <v>12</v>
      </c>
      <c r="AI53" s="276"/>
      <c r="AJ53" s="277" t="s">
        <v>13</v>
      </c>
      <c r="AK53" s="276"/>
      <c r="AL53" s="277" t="s">
        <v>14</v>
      </c>
      <c r="AM53" s="278"/>
      <c r="AN53" s="275" t="s">
        <v>12</v>
      </c>
      <c r="AO53" s="276"/>
      <c r="AP53" s="277" t="s">
        <v>13</v>
      </c>
      <c r="AQ53" s="276"/>
      <c r="AR53" s="277" t="s">
        <v>14</v>
      </c>
      <c r="AS53" s="276"/>
      <c r="AT53" s="22"/>
      <c r="AU53" s="22"/>
      <c r="AV53" s="275">
        <v>1</v>
      </c>
      <c r="AW53" s="276"/>
      <c r="AX53" s="277">
        <v>2</v>
      </c>
      <c r="AY53" s="276"/>
      <c r="AZ53" s="277">
        <v>3</v>
      </c>
      <c r="BA53" s="278"/>
      <c r="BD53" s="275" t="s">
        <v>3</v>
      </c>
      <c r="BE53" s="278"/>
      <c r="BF53" s="275" t="s">
        <v>4</v>
      </c>
      <c r="BG53" s="278"/>
      <c r="BH53" s="275" t="s">
        <v>5</v>
      </c>
      <c r="BI53" s="278"/>
      <c r="BJ53" s="38" t="s">
        <v>6</v>
      </c>
      <c r="BK53" s="13">
        <f>SUM(BK54:BK56)</f>
        <v>0</v>
      </c>
    </row>
    <row r="54" spans="1:63" ht="11.25" customHeight="1">
      <c r="A54" s="12">
        <f>S54</f>
        <v>5</v>
      </c>
      <c r="B54" s="2" t="str">
        <f>IF(N52="","",N52)</f>
        <v>H0006</v>
      </c>
      <c r="C54" s="2">
        <f>IF(N53="","",N53)</f>
      </c>
      <c r="D54" s="2" t="str">
        <f>IF(N58="","",N58)</f>
        <v>B0020</v>
      </c>
      <c r="E54" s="2">
        <f>IF(N59="","",N59)</f>
      </c>
      <c r="I54" s="2" t="str">
        <f>"2"&amp;O50&amp;N51</f>
        <v>25Beginners</v>
      </c>
      <c r="J54" s="29" t="str">
        <f>IF(AC54="","",IF(AC51=2,N52,IF(AC54=2,N55,IF(AC57=2,N58,""))))</f>
        <v>G0014</v>
      </c>
      <c r="K54" s="29">
        <f>IF(AC54="","",IF(AC51=2,N53,IF(AC54=2,N56,IF(AC57=2,N59,""))))</f>
        <v>0</v>
      </c>
      <c r="M54" s="39" t="str">
        <f>N51</f>
        <v>Beginners</v>
      </c>
      <c r="O54" s="23"/>
      <c r="P54" s="23"/>
      <c r="Q54" s="40">
        <f>IF(AT54&gt;0,"",IF(A54=0,"",IF(VLOOKUP(A54,'[1]plan gier'!A:S,19,FALSE)="","",VLOOKUP(A54,'[1]plan gier'!A:S,19,FALSE))))</f>
      </c>
      <c r="R54" s="41" t="s">
        <v>15</v>
      </c>
      <c r="S54" s="42">
        <v>5</v>
      </c>
      <c r="T54" s="279">
        <v>2</v>
      </c>
      <c r="U54" s="280">
        <f>IF(AND(N55&lt;&gt;"",N56&lt;&gt;""),CONCATENATE(VLOOKUP(N55,'[1]zawodnicy'!$A:$E,1,FALSE)," ",VLOOKUP(N55,'[1]zawodnicy'!$A:$E,2,FALSE)," ",VLOOKUP(N55,'[1]zawodnicy'!$A:$E,3,FALSE)," - ",VLOOKUP(N55,'[1]zawodnicy'!$A:$E,4,FALSE)),"")</f>
      </c>
      <c r="V54" s="281"/>
      <c r="W54" s="43" t="str">
        <f>IF(SUM(AN56:AO56)=0,"",AO56&amp;":"&amp;AN56)</f>
        <v>21:5</v>
      </c>
      <c r="X54" s="44"/>
      <c r="Y54" s="45" t="str">
        <f>IF(SUM(AN55:AO55)=0,"",AN55&amp;":"&amp;AO55)</f>
        <v>21:23</v>
      </c>
      <c r="Z54" s="279" t="str">
        <f>IF(SUM(AV55:AW55,AZ55:BA55)=0,"",BD55&amp;":"&amp;BE55)</f>
        <v>81:61</v>
      </c>
      <c r="AA54" s="282" t="str">
        <f>IF(SUM(AV55:AW55,AZ55:BA55)=0,"",BF55&amp;":"&amp;BG55)</f>
        <v>2:2</v>
      </c>
      <c r="AB54" s="282" t="str">
        <f>IF(SUM(AV55:AW55,AZ55:BA55)=0,"",BH55&amp;":"&amp;BI55)</f>
        <v>1:1</v>
      </c>
      <c r="AC54" s="283">
        <f>IF(SUM(BH54:BH56)&gt;0,BJ55,"")</f>
        <v>2</v>
      </c>
      <c r="AD54" s="2"/>
      <c r="AE54" s="22"/>
      <c r="AF54" s="22"/>
      <c r="AG54" s="41" t="s">
        <v>15</v>
      </c>
      <c r="AH54" s="46">
        <f>IF(ISBLANK(S54),"",VLOOKUP(S54,'[1]plan gier'!$X:$AN,12,FALSE))</f>
        <v>10</v>
      </c>
      <c r="AI54" s="47">
        <f>IF(ISBLANK(S54),"",VLOOKUP(S54,'[1]plan gier'!$X:$AN,13,FALSE))</f>
        <v>21</v>
      </c>
      <c r="AJ54" s="47">
        <f>IF(ISBLANK(S54),"",VLOOKUP(S54,'[1]plan gier'!$X:$AN,14,FALSE))</f>
        <v>3</v>
      </c>
      <c r="AK54" s="47">
        <f>IF(ISBLANK(S54),"",VLOOKUP(S54,'[1]plan gier'!$X:$AN,15,FALSE))</f>
        <v>21</v>
      </c>
      <c r="AL54" s="47">
        <f>IF(ISBLANK(S54),"",VLOOKUP(S54,'[1]plan gier'!$X:$AN,16,FALSE))</f>
        <v>0</v>
      </c>
      <c r="AM54" s="47">
        <f>IF(ISBLANK(S54),"",VLOOKUP(S54,'[1]plan gier'!$X:$AN,17,FALSE))</f>
        <v>0</v>
      </c>
      <c r="AN54" s="48">
        <f aca="true" t="shared" si="4" ref="AN54:AS56">IF(AH54="",0,AH54)</f>
        <v>10</v>
      </c>
      <c r="AO54" s="49">
        <f t="shared" si="4"/>
        <v>21</v>
      </c>
      <c r="AP54" s="50">
        <f t="shared" si="4"/>
        <v>3</v>
      </c>
      <c r="AQ54" s="49">
        <f t="shared" si="4"/>
        <v>21</v>
      </c>
      <c r="AR54" s="50">
        <f t="shared" si="4"/>
        <v>0</v>
      </c>
      <c r="AS54" s="49">
        <f t="shared" si="4"/>
        <v>0</v>
      </c>
      <c r="AT54" s="51">
        <f>SUM(AN54:AS54)</f>
        <v>55</v>
      </c>
      <c r="AU54" s="52">
        <v>1</v>
      </c>
      <c r="AV54" s="53"/>
      <c r="AW54" s="54"/>
      <c r="AX54" s="47">
        <f>IF(AH56&gt;AI56,1,0)+IF(AJ56&gt;AK56,1,0)+IF(AL56&gt;AM56,1,0)</f>
        <v>0</v>
      </c>
      <c r="AY54" s="47">
        <f>AV55</f>
        <v>2</v>
      </c>
      <c r="AZ54" s="47">
        <f>IF(AH54&gt;AI54,1,0)+IF(AJ54&gt;AK54,1,0)+IF(AL54&gt;AM54,1,0)</f>
        <v>0</v>
      </c>
      <c r="BA54" s="55">
        <f>AV56</f>
        <v>2</v>
      </c>
      <c r="BD54" s="46">
        <f>AN54+AP54+AR54+AN56+AP56+AR56</f>
        <v>30</v>
      </c>
      <c r="BE54" s="55">
        <f>AO54+AQ54+AS54+AO56+AQ56+AS56</f>
        <v>84</v>
      </c>
      <c r="BF54" s="46">
        <f>AX54+AZ54</f>
        <v>0</v>
      </c>
      <c r="BG54" s="55">
        <f>AY54+BA54</f>
        <v>4</v>
      </c>
      <c r="BH54" s="46">
        <f>IF(AX54&gt;AY54,1,0)+IF(AZ54&gt;BA54,1,0)</f>
        <v>0</v>
      </c>
      <c r="BI54" s="56">
        <f>IF(AY54&gt;AX54,1,0)+IF(BA54&gt;AZ54,1,0)</f>
        <v>2</v>
      </c>
      <c r="BJ54" s="57">
        <f>IF(BH54+BI54=0,"",IF(BK54=MAX(BK54:BK56),1,IF(BK54=MIN(BK54:BK56),3,2)))</f>
        <v>3</v>
      </c>
      <c r="BK54" s="13">
        <f>IF(BH54+BI54&lt;&gt;0,BH54-BI54+(BF54-BG54)/100+(BD54-BE54)/10000,-2)</f>
        <v>-2.0454</v>
      </c>
    </row>
    <row r="55" spans="1:63" ht="11.25" customHeight="1">
      <c r="A55" s="12">
        <f>S55</f>
        <v>11</v>
      </c>
      <c r="B55" s="2" t="str">
        <f>IF(N55="","",N55)</f>
        <v>G0014</v>
      </c>
      <c r="C55" s="2">
        <f>IF(N56="","",N56)</f>
      </c>
      <c r="D55" s="2" t="str">
        <f>IF(N58="","",N58)</f>
        <v>B0020</v>
      </c>
      <c r="E55" s="2">
        <f>IF(N59="","",N59)</f>
      </c>
      <c r="J55" s="29"/>
      <c r="K55" s="12"/>
      <c r="M55" s="39" t="str">
        <f>N51</f>
        <v>Beginners</v>
      </c>
      <c r="N55" s="30" t="s">
        <v>30</v>
      </c>
      <c r="O55" s="31">
        <f>IF(O50&gt;0,(O50&amp;2)*1,"")</f>
        <v>52</v>
      </c>
      <c r="Q55" s="40">
        <f>IF(AT55&gt;0,"",IF(A55=0,"",IF(VLOOKUP(A55,'[1]plan gier'!A:S,19,FALSE)="","",VLOOKUP(A55,'[1]plan gier'!A:S,19,FALSE))))</f>
      </c>
      <c r="R55" s="41" t="s">
        <v>17</v>
      </c>
      <c r="S55" s="42">
        <v>11</v>
      </c>
      <c r="T55" s="260"/>
      <c r="U55" s="271" t="str">
        <f>IF(AND(N55&lt;&gt;"",N56=""),CONCATENATE(VLOOKUP(N55,'[1]zawodnicy'!$A:$E,1,FALSE)," ",VLOOKUP(N55,'[1]zawodnicy'!$A:$E,2,FALSE)," ",VLOOKUP(N55,'[1]zawodnicy'!$A:$E,3,FALSE)," - ",VLOOKUP(N55,'[1]zawodnicy'!$A:$E,4,FALSE)),"")</f>
        <v>G0014 Eryk GŁOWACKI - Tarnowiec</v>
      </c>
      <c r="V55" s="272"/>
      <c r="W55" s="58" t="str">
        <f>IF(SUM(AP56:AQ56)=0,"",AQ56&amp;":"&amp;AP56)</f>
        <v>21:12</v>
      </c>
      <c r="X55" s="59"/>
      <c r="Y55" s="34" t="str">
        <f>IF(SUM(AP55:AQ55)=0,"",AP55&amp;":"&amp;AQ55)</f>
        <v>18:21</v>
      </c>
      <c r="Z55" s="260"/>
      <c r="AA55" s="265"/>
      <c r="AB55" s="265"/>
      <c r="AC55" s="268"/>
      <c r="AD55" s="2"/>
      <c r="AE55" s="22"/>
      <c r="AF55" s="22"/>
      <c r="AG55" s="41" t="s">
        <v>17</v>
      </c>
      <c r="AH55" s="60">
        <f>IF(ISBLANK(S55),"",VLOOKUP(S55,'[1]plan gier'!$X:$AN,12,FALSE))</f>
        <v>21</v>
      </c>
      <c r="AI55" s="61">
        <f>IF(ISBLANK(S55),"",VLOOKUP(S55,'[1]plan gier'!$X:$AN,13,FALSE))</f>
        <v>23</v>
      </c>
      <c r="AJ55" s="61">
        <f>IF(ISBLANK(S55),"",VLOOKUP(S55,'[1]plan gier'!$X:$AN,14,FALSE))</f>
        <v>18</v>
      </c>
      <c r="AK55" s="61">
        <f>IF(ISBLANK(S55),"",VLOOKUP(S55,'[1]plan gier'!$X:$AN,15,FALSE))</f>
        <v>21</v>
      </c>
      <c r="AL55" s="61">
        <f>IF(ISBLANK(S55),"",VLOOKUP(S55,'[1]plan gier'!$X:$AN,16,FALSE))</f>
        <v>0</v>
      </c>
      <c r="AM55" s="61">
        <f>IF(ISBLANK(S55),"",VLOOKUP(S55,'[1]plan gier'!$X:$AN,17,FALSE))</f>
        <v>0</v>
      </c>
      <c r="AN55" s="62">
        <f t="shared" si="4"/>
        <v>21</v>
      </c>
      <c r="AO55" s="61">
        <f t="shared" si="4"/>
        <v>23</v>
      </c>
      <c r="AP55" s="63">
        <f t="shared" si="4"/>
        <v>18</v>
      </c>
      <c r="AQ55" s="61">
        <f t="shared" si="4"/>
        <v>21</v>
      </c>
      <c r="AR55" s="63">
        <f t="shared" si="4"/>
        <v>0</v>
      </c>
      <c r="AS55" s="61">
        <f t="shared" si="4"/>
        <v>0</v>
      </c>
      <c r="AT55" s="51">
        <f>SUM(AN55:AS55)</f>
        <v>83</v>
      </c>
      <c r="AU55" s="52">
        <v>2</v>
      </c>
      <c r="AV55" s="60">
        <f>IF(AH56&lt;AI56,1,0)+IF(AJ56&lt;AK56,1,0)+IF(AL56&lt;AM56,1,0)</f>
        <v>2</v>
      </c>
      <c r="AW55" s="61">
        <f>AX54</f>
        <v>0</v>
      </c>
      <c r="AX55" s="64"/>
      <c r="AY55" s="65"/>
      <c r="AZ55" s="61">
        <f>IF(AH55&gt;AI55,1,0)+IF(AJ55&gt;AK55,1,0)+IF(AL55&gt;AM55,1,0)</f>
        <v>0</v>
      </c>
      <c r="BA55" s="66">
        <f>AX56</f>
        <v>2</v>
      </c>
      <c r="BD55" s="60">
        <f>AN55+AP55+AR55+AO56+AQ56+AS56</f>
        <v>81</v>
      </c>
      <c r="BE55" s="66">
        <f>AO55+AQ55+AS55+AN56+AP56+AR56</f>
        <v>61</v>
      </c>
      <c r="BF55" s="60">
        <f>AV55+AZ55</f>
        <v>2</v>
      </c>
      <c r="BG55" s="66">
        <f>AW55+BA55</f>
        <v>2</v>
      </c>
      <c r="BH55" s="60">
        <f>IF(AV55&gt;AW55,1,0)+IF(AZ55&gt;BA55,1,0)</f>
        <v>1</v>
      </c>
      <c r="BI55" s="67">
        <f>IF(AW55&gt;AV55,1,0)+IF(BA55&gt;AZ55,1,0)</f>
        <v>1</v>
      </c>
      <c r="BJ55" s="68">
        <f>IF(BH55+BI55=0,"",IF(BK55=MAX(BK54:BK56),1,IF(BK55=MIN(BK54:BK56),3,2)))</f>
        <v>2</v>
      </c>
      <c r="BK55" s="13">
        <f>IF(BH55+BI55&lt;&gt;0,BH55-BI55+(BF55-BG55)/100+(BD55-BE55)/10000,-2)</f>
        <v>0.002</v>
      </c>
    </row>
    <row r="56" spans="1:63" ht="11.25" customHeight="1" thickBot="1">
      <c r="A56" s="12">
        <f>S56</f>
        <v>17</v>
      </c>
      <c r="B56" s="2" t="str">
        <f>IF(N52="","",N52)</f>
        <v>H0006</v>
      </c>
      <c r="C56" s="2">
        <f>IF(N53="","",N53)</f>
      </c>
      <c r="D56" s="2" t="str">
        <f>IF(N55="","",N55)</f>
        <v>G0014</v>
      </c>
      <c r="E56" s="2">
        <f>IF(N56="","",N56)</f>
      </c>
      <c r="I56" s="2" t="str">
        <f>"3"&amp;O50&amp;N51</f>
        <v>35Beginners</v>
      </c>
      <c r="J56" s="29" t="str">
        <f>IF(AC57="","",IF(AC51=3,N52,IF(AC54=3,N55,IF(AC57=3,N58,""))))</f>
        <v>H0006</v>
      </c>
      <c r="K56" s="29">
        <f>IF(AC57="","",IF(AC51=3,N53,IF(AC54=3,N56,IF(AC57=3,N59,""))))</f>
        <v>0</v>
      </c>
      <c r="M56" s="39" t="str">
        <f>N51</f>
        <v>Beginners</v>
      </c>
      <c r="N56" s="35"/>
      <c r="O56" s="23"/>
      <c r="P56" s="23"/>
      <c r="Q56" s="40">
        <f>IF(AT56&gt;0,"",IF(A56=0,"",IF(VLOOKUP(A56,'[1]plan gier'!A:S,19,FALSE)="","",VLOOKUP(A56,'[1]plan gier'!A:S,19,FALSE))))</f>
      </c>
      <c r="R56" s="69" t="s">
        <v>18</v>
      </c>
      <c r="S56" s="42">
        <v>17</v>
      </c>
      <c r="T56" s="261"/>
      <c r="U56" s="273">
        <f>IF(N56&lt;&gt;"",CONCATENATE(VLOOKUP(N56,'[1]zawodnicy'!$A:$E,1,FALSE)," ",VLOOKUP(N56,'[1]zawodnicy'!$A:$E,2,FALSE)," ",VLOOKUP(N56,'[1]zawodnicy'!$A:$E,3,FALSE)," - ",VLOOKUP(N56,'[1]zawodnicy'!$A:$E,4,FALSE)),"")</f>
      </c>
      <c r="V56" s="274"/>
      <c r="W56" s="70">
        <f>IF(SUM(AR56:AS56)=0,"",AS56&amp;":"&amp;AR56)</f>
      </c>
      <c r="X56" s="59"/>
      <c r="Y56" s="37">
        <f>IF(SUM(AR55:AS55)=0,"",AR55&amp;":"&amp;AS55)</f>
      </c>
      <c r="Z56" s="261"/>
      <c r="AA56" s="266"/>
      <c r="AB56" s="266"/>
      <c r="AC56" s="269"/>
      <c r="AD56" s="2"/>
      <c r="AE56" s="22"/>
      <c r="AF56" s="22"/>
      <c r="AG56" s="69" t="s">
        <v>18</v>
      </c>
      <c r="AH56" s="71">
        <f>IF(ISBLANK(S56),"",VLOOKUP(S56,'[1]plan gier'!$X:$AN,12,FALSE))</f>
        <v>5</v>
      </c>
      <c r="AI56" s="72">
        <f>IF(ISBLANK(S56),"",VLOOKUP(S56,'[1]plan gier'!$X:$AN,13,FALSE))</f>
        <v>21</v>
      </c>
      <c r="AJ56" s="72">
        <f>IF(ISBLANK(S56),"",VLOOKUP(S56,'[1]plan gier'!$X:$AN,14,FALSE))</f>
        <v>12</v>
      </c>
      <c r="AK56" s="72">
        <f>IF(ISBLANK(S56),"",VLOOKUP(S56,'[1]plan gier'!$X:$AN,15,FALSE))</f>
        <v>21</v>
      </c>
      <c r="AL56" s="72">
        <f>IF(ISBLANK(S56),"",VLOOKUP(S56,'[1]plan gier'!$X:$AN,16,FALSE))</f>
        <v>0</v>
      </c>
      <c r="AM56" s="72">
        <f>IF(ISBLANK(S56),"",VLOOKUP(S56,'[1]plan gier'!$X:$AN,17,FALSE))</f>
        <v>0</v>
      </c>
      <c r="AN56" s="73">
        <f t="shared" si="4"/>
        <v>5</v>
      </c>
      <c r="AO56" s="72">
        <f t="shared" si="4"/>
        <v>21</v>
      </c>
      <c r="AP56" s="74">
        <f t="shared" si="4"/>
        <v>12</v>
      </c>
      <c r="AQ56" s="72">
        <f t="shared" si="4"/>
        <v>21</v>
      </c>
      <c r="AR56" s="74">
        <f t="shared" si="4"/>
        <v>0</v>
      </c>
      <c r="AS56" s="72">
        <f t="shared" si="4"/>
        <v>0</v>
      </c>
      <c r="AT56" s="51">
        <f>SUM(AN56:AS56)</f>
        <v>59</v>
      </c>
      <c r="AU56" s="52">
        <v>3</v>
      </c>
      <c r="AV56" s="71">
        <f>IF(AH54&lt;AI54,1,0)+IF(AJ54&lt;AK54,1,0)+IF(AL54&lt;AM54,1,0)</f>
        <v>2</v>
      </c>
      <c r="AW56" s="72">
        <f>AZ54</f>
        <v>0</v>
      </c>
      <c r="AX56" s="72">
        <f>IF(AH55&lt;AI55,1,0)+IF(AJ55&lt;AK55,1,0)+IF(AL55&lt;AM55,1,0)</f>
        <v>2</v>
      </c>
      <c r="AY56" s="72">
        <f>AZ55</f>
        <v>0</v>
      </c>
      <c r="AZ56" s="75"/>
      <c r="BA56" s="76"/>
      <c r="BD56" s="71">
        <f>AO54+AQ54+AS54+AO55+AQ55+AS55</f>
        <v>86</v>
      </c>
      <c r="BE56" s="77">
        <f>AN54+AP54+AR54+AN55+AP55+AR55</f>
        <v>52</v>
      </c>
      <c r="BF56" s="71">
        <f>AV56+AX56</f>
        <v>4</v>
      </c>
      <c r="BG56" s="77">
        <f>AW56+AY56</f>
        <v>0</v>
      </c>
      <c r="BH56" s="71">
        <f>IF(AV56&gt;AW56,1,0)+IF(AX56&gt;AY56,1,0)</f>
        <v>2</v>
      </c>
      <c r="BI56" s="78">
        <f>IF(AW56&gt;AV56,1,0)+IF(AY56&gt;AX56,1,0)</f>
        <v>0</v>
      </c>
      <c r="BJ56" s="79">
        <f>IF(BH56+BI56=0,"",IF(BK56=MAX(BK54:BK56),1,IF(BK56=MIN(BK54:BK56),3,2)))</f>
        <v>1</v>
      </c>
      <c r="BK56" s="13">
        <f>IF(BH56+BI56&lt;&gt;0,BH56-BI56+(BF56-BG56)/100+(BD56-BE56)/10000,-2)</f>
        <v>2.0434</v>
      </c>
    </row>
    <row r="57" spans="1:59" ht="11.25" customHeight="1">
      <c r="A57" s="2"/>
      <c r="J57" s="23"/>
      <c r="K57" s="23"/>
      <c r="L57" s="23"/>
      <c r="O57" s="23"/>
      <c r="P57" s="23"/>
      <c r="Q57" s="2"/>
      <c r="R57" s="2"/>
      <c r="S57" s="2"/>
      <c r="T57" s="279">
        <v>3</v>
      </c>
      <c r="U57" s="280">
        <f>IF(AND(N58&lt;&gt;"",N59&lt;&gt;""),CONCATENATE(VLOOKUP(N58,'[1]zawodnicy'!$A:$E,1,FALSE)," ",VLOOKUP(N58,'[1]zawodnicy'!$A:$E,2,FALSE)," ",VLOOKUP(N58,'[1]zawodnicy'!$A:$E,3,FALSE)," - ",VLOOKUP(N58,'[1]zawodnicy'!$A:$E,4,FALSE)),"")</f>
      </c>
      <c r="V57" s="281"/>
      <c r="W57" s="43" t="str">
        <f>IF(SUM(AN54:AO54)=0,"",AO54&amp;":"&amp;AN54)</f>
        <v>21:10</v>
      </c>
      <c r="X57" s="80" t="str">
        <f>IF(SUM(AN55:AO55)=0,"",AO55&amp;":"&amp;AN55)</f>
        <v>23:21</v>
      </c>
      <c r="Y57" s="81"/>
      <c r="Z57" s="279" t="str">
        <f>IF(SUM(AV56:AY56)=0,"",BD56&amp;":"&amp;BE56)</f>
        <v>86:52</v>
      </c>
      <c r="AA57" s="282" t="str">
        <f>IF(SUM(AV56:AY56)=0,"",BF56&amp;":"&amp;BG56)</f>
        <v>4:0</v>
      </c>
      <c r="AB57" s="282" t="str">
        <f>IF(SUM(AV56:AY56)=0,"",BH56&amp;":"&amp;BI56)</f>
        <v>2:0</v>
      </c>
      <c r="AC57" s="283">
        <f>IF(SUM(BH54:BH56)&gt;0,BJ56,"")</f>
        <v>1</v>
      </c>
      <c r="AD57" s="2"/>
      <c r="AE57" s="22"/>
      <c r="AF57" s="22"/>
      <c r="BD57" s="12">
        <f>SUM(BD54:BD56)</f>
        <v>197</v>
      </c>
      <c r="BE57" s="12">
        <f>SUM(BE54:BE56)</f>
        <v>197</v>
      </c>
      <c r="BF57" s="12">
        <f>SUM(BF54:BF56)</f>
        <v>6</v>
      </c>
      <c r="BG57" s="12">
        <f>SUM(BG54:BG56)</f>
        <v>6</v>
      </c>
    </row>
    <row r="58" spans="1:63" ht="11.25" customHeight="1">
      <c r="A58" s="12"/>
      <c r="J58" s="12"/>
      <c r="K58" s="12"/>
      <c r="L58" s="12"/>
      <c r="N58" s="30" t="s">
        <v>31</v>
      </c>
      <c r="O58" s="31">
        <f>IF(O50&gt;0,(O50&amp;3)*1,"")</f>
        <v>53</v>
      </c>
      <c r="Q58" s="82"/>
      <c r="R58" s="82"/>
      <c r="S58" s="42"/>
      <c r="T58" s="260"/>
      <c r="U58" s="271" t="str">
        <f>IF(AND(N58&lt;&gt;"",N59=""),CONCATENATE(VLOOKUP(N58,'[1]zawodnicy'!$A:$E,1,FALSE)," ",VLOOKUP(N58,'[1]zawodnicy'!$A:$E,2,FALSE)," ",VLOOKUP(N58,'[1]zawodnicy'!$A:$E,3,FALSE)," - ",VLOOKUP(N58,'[1]zawodnicy'!$A:$E,4,FALSE)),"")</f>
        <v>B0020 Klaudia BUKOWIŃSKA - Dubiecko</v>
      </c>
      <c r="V58" s="272"/>
      <c r="W58" s="58" t="str">
        <f>IF(SUM(AP54:AQ54)=0,"",AQ54&amp;":"&amp;AP54)</f>
        <v>21:3</v>
      </c>
      <c r="X58" s="33" t="str">
        <f>IF(SUM(AP55:AQ55)=0,"",AQ55&amp;":"&amp;AP55)</f>
        <v>21:18</v>
      </c>
      <c r="Y58" s="83"/>
      <c r="Z58" s="260"/>
      <c r="AA58" s="265"/>
      <c r="AB58" s="265"/>
      <c r="AC58" s="268"/>
      <c r="AD58" s="2"/>
      <c r="AE58" s="22"/>
      <c r="AF58" s="2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1.25" customHeight="1" thickBot="1">
      <c r="A59" s="2"/>
      <c r="J59" s="23"/>
      <c r="K59" s="23"/>
      <c r="L59" s="23"/>
      <c r="N59" s="35"/>
      <c r="O59" s="23"/>
      <c r="P59" s="23"/>
      <c r="Q59" s="2"/>
      <c r="R59" s="2"/>
      <c r="S59" s="2"/>
      <c r="T59" s="284"/>
      <c r="U59" s="287">
        <f>IF(N59&lt;&gt;"",CONCATENATE(VLOOKUP(N59,'[1]zawodnicy'!$A:$E,1,FALSE)," ",VLOOKUP(N59,'[1]zawodnicy'!$A:$E,2,FALSE)," ",VLOOKUP(N59,'[1]zawodnicy'!$A:$E,3,FALSE)," - ",VLOOKUP(N59,'[1]zawodnicy'!$A:$E,4,FALSE)),"")</f>
      </c>
      <c r="V59" s="288"/>
      <c r="W59" s="84">
        <f>IF(SUM(AR54:AS54)=0,"",AS54&amp;":"&amp;AR54)</f>
      </c>
      <c r="X59" s="85">
        <f>IF(SUM(AR55:AS55)=0,"",AS55&amp;":"&amp;AR55)</f>
      </c>
      <c r="Y59" s="86"/>
      <c r="Z59" s="284"/>
      <c r="AA59" s="285"/>
      <c r="AB59" s="285"/>
      <c r="AC59" s="286"/>
      <c r="AD59" s="29"/>
      <c r="AE59" s="22"/>
      <c r="AF59" s="2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ht="11.25" customHeight="1" thickBot="1"/>
    <row r="61" spans="14:32" ht="11.25" customHeight="1" thickBot="1">
      <c r="N61" s="8"/>
      <c r="O61" s="14">
        <v>6</v>
      </c>
      <c r="Q61" s="253" t="str">
        <f>"Grupa "&amp;O61&amp;"."</f>
        <v>Grupa 6.</v>
      </c>
      <c r="R61" s="253"/>
      <c r="S61" s="254"/>
      <c r="T61" s="15" t="s">
        <v>1</v>
      </c>
      <c r="U61" s="255" t="s">
        <v>2</v>
      </c>
      <c r="V61" s="256"/>
      <c r="W61" s="15">
        <v>1</v>
      </c>
      <c r="X61" s="17">
        <v>2</v>
      </c>
      <c r="Y61" s="18">
        <v>3</v>
      </c>
      <c r="Z61" s="19" t="s">
        <v>3</v>
      </c>
      <c r="AA61" s="20" t="s">
        <v>4</v>
      </c>
      <c r="AB61" s="20" t="s">
        <v>5</v>
      </c>
      <c r="AC61" s="21" t="s">
        <v>6</v>
      </c>
      <c r="AD61" s="2"/>
      <c r="AE61" s="22"/>
      <c r="AF61" s="22"/>
    </row>
    <row r="62" spans="10:45" ht="11.25" customHeight="1">
      <c r="J62" s="23"/>
      <c r="K62" s="23"/>
      <c r="L62" s="23"/>
      <c r="N62" s="24" t="s">
        <v>0</v>
      </c>
      <c r="Q62" s="257" t="s">
        <v>7</v>
      </c>
      <c r="R62" s="257"/>
      <c r="S62" s="258" t="s">
        <v>8</v>
      </c>
      <c r="T62" s="259">
        <v>1</v>
      </c>
      <c r="U62" s="262">
        <f>IF(AND(N63&lt;&gt;"",N64&lt;&gt;""),CONCATENATE(VLOOKUP(N63,'[1]zawodnicy'!$A:$E,1,FALSE)," ",VLOOKUP(N63,'[1]zawodnicy'!$A:$E,2,FALSE)," ",VLOOKUP(N63,'[1]zawodnicy'!$A:$E,3,FALSE)," - ",VLOOKUP(N63,'[1]zawodnicy'!$A:$E,4,FALSE)),"")</f>
      </c>
      <c r="V62" s="263"/>
      <c r="W62" s="25"/>
      <c r="X62" s="26" t="str">
        <f>IF(SUM(AN67:AO67)=0,"",AN67&amp;":"&amp;AO67)</f>
        <v>21:3</v>
      </c>
      <c r="Y62" s="27" t="str">
        <f>IF(SUM(AN65:AO65)=0,"",AN65&amp;":"&amp;AO65)</f>
        <v>21:0</v>
      </c>
      <c r="Z62" s="259" t="str">
        <f>IF(SUM(AX65:BA65)=0,"",BD65&amp;":"&amp;BE65)</f>
        <v>84:11</v>
      </c>
      <c r="AA62" s="264" t="str">
        <f>IF(SUM(AX65:BA65)=0,"",BF65&amp;":"&amp;BG65)</f>
        <v>4:0</v>
      </c>
      <c r="AB62" s="264" t="str">
        <f>IF(SUM(AX65:BA65)=0,"",BH65&amp;":"&amp;BI65)</f>
        <v>2:0</v>
      </c>
      <c r="AC62" s="267">
        <f>IF(SUM(BH65:BH67)&gt;0,BJ65,"")</f>
        <v>1</v>
      </c>
      <c r="AD62" s="2"/>
      <c r="AE62" s="22"/>
      <c r="AF62" s="22"/>
      <c r="AG62" s="28"/>
      <c r="AH62" s="270" t="s">
        <v>9</v>
      </c>
      <c r="AI62" s="270"/>
      <c r="AJ62" s="270"/>
      <c r="AK62" s="270"/>
      <c r="AL62" s="270"/>
      <c r="AM62" s="270"/>
      <c r="AN62" s="270" t="s">
        <v>10</v>
      </c>
      <c r="AO62" s="270"/>
      <c r="AP62" s="270"/>
      <c r="AQ62" s="270"/>
      <c r="AR62" s="270"/>
      <c r="AS62" s="270"/>
    </row>
    <row r="63" spans="9:59" ht="11.25" customHeight="1" thickBot="1">
      <c r="I63" s="2" t="str">
        <f>"1"&amp;O61&amp;N62</f>
        <v>16Beginners</v>
      </c>
      <c r="J63" s="29" t="str">
        <f>IF(AC62="","",IF(AC62=1,N63,IF(AC65=1,N66,IF(AC68=1,N69,""))))</f>
        <v>D0008</v>
      </c>
      <c r="K63" s="29">
        <f>IF(AC62="","",IF(AC62=1,N64,IF(AC65=1,N67,IF(AC68=1,N70,""))))</f>
        <v>0</v>
      </c>
      <c r="L63" s="29"/>
      <c r="N63" s="30" t="s">
        <v>32</v>
      </c>
      <c r="O63" s="31">
        <f>IF(O61&gt;0,(O61&amp;1)*1,"")</f>
        <v>61</v>
      </c>
      <c r="Q63" s="257"/>
      <c r="R63" s="257"/>
      <c r="S63" s="258"/>
      <c r="T63" s="260"/>
      <c r="U63" s="271" t="str">
        <f>IF(AND(N63&lt;&gt;"",N64=""),CONCATENATE(VLOOKUP(N63,'[1]zawodnicy'!$A:$E,1,FALSE)," ",VLOOKUP(N63,'[1]zawodnicy'!$A:$E,2,FALSE)," ",VLOOKUP(N63,'[1]zawodnicy'!$A:$E,3,FALSE)," - ",VLOOKUP(N63,'[1]zawodnicy'!$A:$E,4,FALSE)),"")</f>
        <v>D0008 Patrycja DOMAŃSKA - Rzeszów</v>
      </c>
      <c r="V63" s="272"/>
      <c r="W63" s="32"/>
      <c r="X63" s="33" t="str">
        <f>IF(SUM(AP67:AQ67)=0,"",AP67&amp;":"&amp;AQ67)</f>
        <v>21:3</v>
      </c>
      <c r="Y63" s="34" t="str">
        <f>IF(SUM(AP65:AQ65)=0,"",AP65&amp;":"&amp;AQ65)</f>
        <v>21:5</v>
      </c>
      <c r="Z63" s="260"/>
      <c r="AA63" s="265"/>
      <c r="AB63" s="265"/>
      <c r="AC63" s="268"/>
      <c r="AD63" s="2"/>
      <c r="AE63" s="22"/>
      <c r="AF63" s="22"/>
      <c r="AG63" s="28"/>
      <c r="BD63" s="12">
        <f>SUM(BD65:BD67)</f>
        <v>163</v>
      </c>
      <c r="BE63" s="12">
        <f>SUM(BE65:BE67)</f>
        <v>163</v>
      </c>
      <c r="BF63" s="12">
        <f>SUM(BF65:BF67)</f>
        <v>6</v>
      </c>
      <c r="BG63" s="12">
        <f>SUM(BG65:BG67)</f>
        <v>6</v>
      </c>
    </row>
    <row r="64" spans="10:63" ht="11.25" customHeight="1" thickBot="1">
      <c r="J64" s="29"/>
      <c r="K64" s="23"/>
      <c r="L64" s="23"/>
      <c r="N64" s="35"/>
      <c r="O64" s="23"/>
      <c r="P64" s="23"/>
      <c r="Q64" s="257"/>
      <c r="R64" s="257"/>
      <c r="S64" s="258"/>
      <c r="T64" s="261"/>
      <c r="U64" s="273">
        <f>IF(N64&lt;&gt;"",CONCATENATE(VLOOKUP(N64,'[1]zawodnicy'!$A:$E,1,FALSE)," ",VLOOKUP(N64,'[1]zawodnicy'!$A:$E,2,FALSE)," ",VLOOKUP(N64,'[1]zawodnicy'!$A:$E,3,FALSE)," - ",VLOOKUP(N64,'[1]zawodnicy'!$A:$E,4,FALSE)),"")</f>
      </c>
      <c r="V64" s="274"/>
      <c r="W64" s="32"/>
      <c r="X64" s="36">
        <f>IF(SUM(AR67:AS67)=0,"",AR67&amp;":"&amp;AS67)</f>
      </c>
      <c r="Y64" s="37">
        <f>IF(SUM(AR65:AS65)=0,"",AR65&amp;":"&amp;AS65)</f>
      </c>
      <c r="Z64" s="261"/>
      <c r="AA64" s="266"/>
      <c r="AB64" s="266"/>
      <c r="AC64" s="269"/>
      <c r="AD64" s="2"/>
      <c r="AE64" s="22"/>
      <c r="AF64" s="22"/>
      <c r="AG64" s="28"/>
      <c r="AH64" s="275" t="s">
        <v>12</v>
      </c>
      <c r="AI64" s="276"/>
      <c r="AJ64" s="277" t="s">
        <v>13</v>
      </c>
      <c r="AK64" s="276"/>
      <c r="AL64" s="277" t="s">
        <v>14</v>
      </c>
      <c r="AM64" s="278"/>
      <c r="AN64" s="275" t="s">
        <v>12</v>
      </c>
      <c r="AO64" s="276"/>
      <c r="AP64" s="277" t="s">
        <v>13</v>
      </c>
      <c r="AQ64" s="276"/>
      <c r="AR64" s="277" t="s">
        <v>14</v>
      </c>
      <c r="AS64" s="276"/>
      <c r="AT64" s="22"/>
      <c r="AU64" s="22"/>
      <c r="AV64" s="275">
        <v>1</v>
      </c>
      <c r="AW64" s="276"/>
      <c r="AX64" s="277">
        <v>2</v>
      </c>
      <c r="AY64" s="276"/>
      <c r="AZ64" s="277">
        <v>3</v>
      </c>
      <c r="BA64" s="278"/>
      <c r="BD64" s="275" t="s">
        <v>3</v>
      </c>
      <c r="BE64" s="278"/>
      <c r="BF64" s="275" t="s">
        <v>4</v>
      </c>
      <c r="BG64" s="278"/>
      <c r="BH64" s="275" t="s">
        <v>5</v>
      </c>
      <c r="BI64" s="278"/>
      <c r="BJ64" s="38" t="s">
        <v>6</v>
      </c>
      <c r="BK64" s="13">
        <f>SUM(BK65:BK67)</f>
        <v>0</v>
      </c>
    </row>
    <row r="65" spans="1:63" ht="11.25" customHeight="1">
      <c r="A65" s="12">
        <f>S65</f>
        <v>6</v>
      </c>
      <c r="B65" s="2" t="str">
        <f>IF(N63="","",N63)</f>
        <v>D0008</v>
      </c>
      <c r="C65" s="2">
        <f>IF(N64="","",N64)</f>
      </c>
      <c r="D65" s="2" t="str">
        <f>IF(N69="","",N69)</f>
        <v>L0005</v>
      </c>
      <c r="E65" s="2">
        <f>IF(N70="","",N70)</f>
      </c>
      <c r="I65" s="2" t="str">
        <f>"2"&amp;O61&amp;N62</f>
        <v>26Beginners</v>
      </c>
      <c r="J65" s="29" t="str">
        <f>IF(AC65="","",IF(AC62=2,N63,IF(AC65=2,N66,IF(AC68=2,N69,""))))</f>
        <v>W0012</v>
      </c>
      <c r="K65" s="29">
        <f>IF(AC65="","",IF(AC62=2,N64,IF(AC65=2,N67,IF(AC68=2,N70,""))))</f>
        <v>0</v>
      </c>
      <c r="M65" s="39" t="str">
        <f>N62</f>
        <v>Beginners</v>
      </c>
      <c r="O65" s="23"/>
      <c r="P65" s="23"/>
      <c r="Q65" s="40">
        <f>IF(AT65&gt;0,"",IF(A65=0,"",IF(VLOOKUP(A65,'[1]plan gier'!A:S,19,FALSE)="","",VLOOKUP(A65,'[1]plan gier'!A:S,19,FALSE))))</f>
      </c>
      <c r="R65" s="41" t="s">
        <v>15</v>
      </c>
      <c r="S65" s="42">
        <v>6</v>
      </c>
      <c r="T65" s="279">
        <v>2</v>
      </c>
      <c r="U65" s="280">
        <f>IF(AND(N66&lt;&gt;"",N67&lt;&gt;""),CONCATENATE(VLOOKUP(N66,'[1]zawodnicy'!$A:$E,1,FALSE)," ",VLOOKUP(N66,'[1]zawodnicy'!$A:$E,2,FALSE)," ",VLOOKUP(N66,'[1]zawodnicy'!$A:$E,3,FALSE)," - ",VLOOKUP(N66,'[1]zawodnicy'!$A:$E,4,FALSE)),"")</f>
      </c>
      <c r="V65" s="281"/>
      <c r="W65" s="43" t="str">
        <f>IF(SUM(AN67:AO67)=0,"",AO67&amp;":"&amp;AN67)</f>
        <v>3:21</v>
      </c>
      <c r="X65" s="44"/>
      <c r="Y65" s="45" t="str">
        <f>IF(SUM(AN66:AO66)=0,"",AN66&amp;":"&amp;AO66)</f>
        <v>21:9</v>
      </c>
      <c r="Z65" s="279" t="str">
        <f>IF(SUM(AV66:AW66,AZ66:BA66)=0,"",BD66&amp;":"&amp;BE66)</f>
        <v>48:68</v>
      </c>
      <c r="AA65" s="282" t="str">
        <f>IF(SUM(AV66:AW66,AZ66:BA66)=0,"",BF66&amp;":"&amp;BG66)</f>
        <v>2:2</v>
      </c>
      <c r="AB65" s="282" t="str">
        <f>IF(SUM(AV66:AW66,AZ66:BA66)=0,"",BH66&amp;":"&amp;BI66)</f>
        <v>1:1</v>
      </c>
      <c r="AC65" s="283">
        <f>IF(SUM(BH65:BH67)&gt;0,BJ66,"")</f>
        <v>2</v>
      </c>
      <c r="AD65" s="2"/>
      <c r="AE65" s="22"/>
      <c r="AF65" s="22"/>
      <c r="AG65" s="41" t="s">
        <v>15</v>
      </c>
      <c r="AH65" s="46">
        <f>IF(ISBLANK(S65),"",VLOOKUP(S65,'[1]plan gier'!$X:$AN,12,FALSE))</f>
        <v>21</v>
      </c>
      <c r="AI65" s="47">
        <f>IF(ISBLANK(S65),"",VLOOKUP(S65,'[1]plan gier'!$X:$AN,13,FALSE))</f>
        <v>0</v>
      </c>
      <c r="AJ65" s="47">
        <f>IF(ISBLANK(S65),"",VLOOKUP(S65,'[1]plan gier'!$X:$AN,14,FALSE))</f>
        <v>21</v>
      </c>
      <c r="AK65" s="47">
        <f>IF(ISBLANK(S65),"",VLOOKUP(S65,'[1]plan gier'!$X:$AN,15,FALSE))</f>
        <v>5</v>
      </c>
      <c r="AL65" s="47">
        <f>IF(ISBLANK(S65),"",VLOOKUP(S65,'[1]plan gier'!$X:$AN,16,FALSE))</f>
        <v>0</v>
      </c>
      <c r="AM65" s="47">
        <f>IF(ISBLANK(S65),"",VLOOKUP(S65,'[1]plan gier'!$X:$AN,17,FALSE))</f>
        <v>0</v>
      </c>
      <c r="AN65" s="48">
        <f aca="true" t="shared" si="5" ref="AN65:AS67">IF(AH65="",0,AH65)</f>
        <v>21</v>
      </c>
      <c r="AO65" s="49">
        <f t="shared" si="5"/>
        <v>0</v>
      </c>
      <c r="AP65" s="50">
        <f t="shared" si="5"/>
        <v>21</v>
      </c>
      <c r="AQ65" s="49">
        <f t="shared" si="5"/>
        <v>5</v>
      </c>
      <c r="AR65" s="50">
        <f t="shared" si="5"/>
        <v>0</v>
      </c>
      <c r="AS65" s="49">
        <f t="shared" si="5"/>
        <v>0</v>
      </c>
      <c r="AT65" s="51">
        <f>SUM(AN65:AS65)</f>
        <v>47</v>
      </c>
      <c r="AU65" s="52">
        <v>1</v>
      </c>
      <c r="AV65" s="53"/>
      <c r="AW65" s="54"/>
      <c r="AX65" s="47">
        <f>IF(AH67&gt;AI67,1,0)+IF(AJ67&gt;AK67,1,0)+IF(AL67&gt;AM67,1,0)</f>
        <v>2</v>
      </c>
      <c r="AY65" s="47">
        <f>AV66</f>
        <v>0</v>
      </c>
      <c r="AZ65" s="47">
        <f>IF(AH65&gt;AI65,1,0)+IF(AJ65&gt;AK65,1,0)+IF(AL65&gt;AM65,1,0)</f>
        <v>2</v>
      </c>
      <c r="BA65" s="55">
        <f>AV67</f>
        <v>0</v>
      </c>
      <c r="BD65" s="46">
        <f>AN65+AP65+AR65+AN67+AP67+AR67</f>
        <v>84</v>
      </c>
      <c r="BE65" s="55">
        <f>AO65+AQ65+AS65+AO67+AQ67+AS67</f>
        <v>11</v>
      </c>
      <c r="BF65" s="46">
        <f>AX65+AZ65</f>
        <v>4</v>
      </c>
      <c r="BG65" s="55">
        <f>AY65+BA65</f>
        <v>0</v>
      </c>
      <c r="BH65" s="46">
        <f>IF(AX65&gt;AY65,1,0)+IF(AZ65&gt;BA65,1,0)</f>
        <v>2</v>
      </c>
      <c r="BI65" s="56">
        <f>IF(AY65&gt;AX65,1,0)+IF(BA65&gt;AZ65,1,0)</f>
        <v>0</v>
      </c>
      <c r="BJ65" s="57">
        <f>IF(BH65+BI65=0,"",IF(BK65=MAX(BK65:BK67),1,IF(BK65=MIN(BK65:BK67),3,2)))</f>
        <v>1</v>
      </c>
      <c r="BK65" s="13">
        <f>IF(BH65+BI65&lt;&gt;0,BH65-BI65+(BF65-BG65)/100+(BD65-BE65)/10000,-2)</f>
        <v>2.0473</v>
      </c>
    </row>
    <row r="66" spans="1:63" ht="11.25" customHeight="1">
      <c r="A66" s="12">
        <f>S66</f>
        <v>12</v>
      </c>
      <c r="B66" s="2" t="str">
        <f>IF(N66="","",N66)</f>
        <v>W0012</v>
      </c>
      <c r="C66" s="2">
        <f>IF(N67="","",N67)</f>
      </c>
      <c r="D66" s="2" t="str">
        <f>IF(N69="","",N69)</f>
        <v>L0005</v>
      </c>
      <c r="E66" s="2">
        <f>IF(N70="","",N70)</f>
      </c>
      <c r="J66" s="29"/>
      <c r="K66" s="12"/>
      <c r="M66" s="39" t="str">
        <f>N62</f>
        <v>Beginners</v>
      </c>
      <c r="N66" s="30" t="s">
        <v>33</v>
      </c>
      <c r="O66" s="31">
        <f>IF(O61&gt;0,(O61&amp;2)*1,"")</f>
        <v>62</v>
      </c>
      <c r="Q66" s="40">
        <f>IF(AT66&gt;0,"",IF(A66=0,"",IF(VLOOKUP(A66,'[1]plan gier'!A:S,19,FALSE)="","",VLOOKUP(A66,'[1]plan gier'!A:S,19,FALSE))))</f>
      </c>
      <c r="R66" s="41" t="s">
        <v>17</v>
      </c>
      <c r="S66" s="42">
        <v>12</v>
      </c>
      <c r="T66" s="260"/>
      <c r="U66" s="271" t="str">
        <f>IF(AND(N66&lt;&gt;"",N67=""),CONCATENATE(VLOOKUP(N66,'[1]zawodnicy'!$A:$E,1,FALSE)," ",VLOOKUP(N66,'[1]zawodnicy'!$A:$E,2,FALSE)," ",VLOOKUP(N66,'[1]zawodnicy'!$A:$E,3,FALSE)," - ",VLOOKUP(N66,'[1]zawodnicy'!$A:$E,4,FALSE)),"")</f>
        <v>W0012 Tomasz WYDRO - Mielec</v>
      </c>
      <c r="V66" s="272"/>
      <c r="W66" s="58" t="str">
        <f>IF(SUM(AP67:AQ67)=0,"",AQ67&amp;":"&amp;AP67)</f>
        <v>3:21</v>
      </c>
      <c r="X66" s="59"/>
      <c r="Y66" s="34" t="str">
        <f>IF(SUM(AP66:AQ66)=0,"",AP66&amp;":"&amp;AQ66)</f>
        <v>21:17</v>
      </c>
      <c r="Z66" s="260"/>
      <c r="AA66" s="265"/>
      <c r="AB66" s="265"/>
      <c r="AC66" s="268"/>
      <c r="AD66" s="2"/>
      <c r="AE66" s="22"/>
      <c r="AF66" s="22"/>
      <c r="AG66" s="41" t="s">
        <v>17</v>
      </c>
      <c r="AH66" s="60">
        <f>IF(ISBLANK(S66),"",VLOOKUP(S66,'[1]plan gier'!$X:$AN,12,FALSE))</f>
        <v>21</v>
      </c>
      <c r="AI66" s="61">
        <f>IF(ISBLANK(S66),"",VLOOKUP(S66,'[1]plan gier'!$X:$AN,13,FALSE))</f>
        <v>9</v>
      </c>
      <c r="AJ66" s="61">
        <f>IF(ISBLANK(S66),"",VLOOKUP(S66,'[1]plan gier'!$X:$AN,14,FALSE))</f>
        <v>21</v>
      </c>
      <c r="AK66" s="61">
        <f>IF(ISBLANK(S66),"",VLOOKUP(S66,'[1]plan gier'!$X:$AN,15,FALSE))</f>
        <v>17</v>
      </c>
      <c r="AL66" s="61">
        <f>IF(ISBLANK(S66),"",VLOOKUP(S66,'[1]plan gier'!$X:$AN,16,FALSE))</f>
        <v>0</v>
      </c>
      <c r="AM66" s="61">
        <f>IF(ISBLANK(S66),"",VLOOKUP(S66,'[1]plan gier'!$X:$AN,17,FALSE))</f>
        <v>0</v>
      </c>
      <c r="AN66" s="62">
        <f t="shared" si="5"/>
        <v>21</v>
      </c>
      <c r="AO66" s="61">
        <f t="shared" si="5"/>
        <v>9</v>
      </c>
      <c r="AP66" s="63">
        <f t="shared" si="5"/>
        <v>21</v>
      </c>
      <c r="AQ66" s="61">
        <f t="shared" si="5"/>
        <v>17</v>
      </c>
      <c r="AR66" s="63">
        <f t="shared" si="5"/>
        <v>0</v>
      </c>
      <c r="AS66" s="61">
        <f t="shared" si="5"/>
        <v>0</v>
      </c>
      <c r="AT66" s="51">
        <f>SUM(AN66:AS66)</f>
        <v>68</v>
      </c>
      <c r="AU66" s="52">
        <v>2</v>
      </c>
      <c r="AV66" s="60">
        <f>IF(AH67&lt;AI67,1,0)+IF(AJ67&lt;AK67,1,0)+IF(AL67&lt;AM67,1,0)</f>
        <v>0</v>
      </c>
      <c r="AW66" s="61">
        <f>AX65</f>
        <v>2</v>
      </c>
      <c r="AX66" s="64"/>
      <c r="AY66" s="65"/>
      <c r="AZ66" s="61">
        <f>IF(AH66&gt;AI66,1,0)+IF(AJ66&gt;AK66,1,0)+IF(AL66&gt;AM66,1,0)</f>
        <v>2</v>
      </c>
      <c r="BA66" s="66">
        <f>AX67</f>
        <v>0</v>
      </c>
      <c r="BD66" s="60">
        <f>AN66+AP66+AR66+AO67+AQ67+AS67</f>
        <v>48</v>
      </c>
      <c r="BE66" s="66">
        <f>AO66+AQ66+AS66+AN67+AP67+AR67</f>
        <v>68</v>
      </c>
      <c r="BF66" s="60">
        <f>AV66+AZ66</f>
        <v>2</v>
      </c>
      <c r="BG66" s="66">
        <f>AW66+BA66</f>
        <v>2</v>
      </c>
      <c r="BH66" s="60">
        <f>IF(AV66&gt;AW66,1,0)+IF(AZ66&gt;BA66,1,0)</f>
        <v>1</v>
      </c>
      <c r="BI66" s="67">
        <f>IF(AW66&gt;AV66,1,0)+IF(BA66&gt;AZ66,1,0)</f>
        <v>1</v>
      </c>
      <c r="BJ66" s="68">
        <f>IF(BH66+BI66=0,"",IF(BK66=MAX(BK65:BK67),1,IF(BK66=MIN(BK65:BK67),3,2)))</f>
        <v>2</v>
      </c>
      <c r="BK66" s="13">
        <f>IF(BH66+BI66&lt;&gt;0,BH66-BI66+(BF66-BG66)/100+(BD66-BE66)/10000,-2)</f>
        <v>-0.002</v>
      </c>
    </row>
    <row r="67" spans="1:63" ht="11.25" customHeight="1" thickBot="1">
      <c r="A67" s="12">
        <f>S67</f>
        <v>18</v>
      </c>
      <c r="B67" s="2" t="str">
        <f>IF(N63="","",N63)</f>
        <v>D0008</v>
      </c>
      <c r="C67" s="2">
        <f>IF(N64="","",N64)</f>
      </c>
      <c r="D67" s="2" t="str">
        <f>IF(N66="","",N66)</f>
        <v>W0012</v>
      </c>
      <c r="E67" s="2">
        <f>IF(N67="","",N67)</f>
      </c>
      <c r="I67" s="2" t="str">
        <f>"3"&amp;O61&amp;N62</f>
        <v>36Beginners</v>
      </c>
      <c r="J67" s="29" t="str">
        <f>IF(AC68="","",IF(AC62=3,N63,IF(AC65=3,N66,IF(AC68=3,N69,""))))</f>
        <v>L0005</v>
      </c>
      <c r="K67" s="29">
        <f>IF(AC68="","",IF(AC62=3,N64,IF(AC65=3,N67,IF(AC68=3,N70,""))))</f>
        <v>0</v>
      </c>
      <c r="M67" s="39" t="str">
        <f>N62</f>
        <v>Beginners</v>
      </c>
      <c r="N67" s="35"/>
      <c r="O67" s="23"/>
      <c r="P67" s="23"/>
      <c r="Q67" s="40">
        <f>IF(AT67&gt;0,"",IF(A67=0,"",IF(VLOOKUP(A67,'[1]plan gier'!A:S,19,FALSE)="","",VLOOKUP(A67,'[1]plan gier'!A:S,19,FALSE))))</f>
      </c>
      <c r="R67" s="69" t="s">
        <v>18</v>
      </c>
      <c r="S67" s="42">
        <v>18</v>
      </c>
      <c r="T67" s="261"/>
      <c r="U67" s="273">
        <f>IF(N67&lt;&gt;"",CONCATENATE(VLOOKUP(N67,'[1]zawodnicy'!$A:$E,1,FALSE)," ",VLOOKUP(N67,'[1]zawodnicy'!$A:$E,2,FALSE)," ",VLOOKUP(N67,'[1]zawodnicy'!$A:$E,3,FALSE)," - ",VLOOKUP(N67,'[1]zawodnicy'!$A:$E,4,FALSE)),"")</f>
      </c>
      <c r="V67" s="274"/>
      <c r="W67" s="70">
        <f>IF(SUM(AR67:AS67)=0,"",AS67&amp;":"&amp;AR67)</f>
      </c>
      <c r="X67" s="59"/>
      <c r="Y67" s="37">
        <f>IF(SUM(AR66:AS66)=0,"",AR66&amp;":"&amp;AS66)</f>
      </c>
      <c r="Z67" s="261"/>
      <c r="AA67" s="266"/>
      <c r="AB67" s="266"/>
      <c r="AC67" s="269"/>
      <c r="AD67" s="2"/>
      <c r="AE67" s="22"/>
      <c r="AF67" s="22"/>
      <c r="AG67" s="69" t="s">
        <v>18</v>
      </c>
      <c r="AH67" s="71">
        <f>IF(ISBLANK(S67),"",VLOOKUP(S67,'[1]plan gier'!$X:$AN,12,FALSE))</f>
        <v>21</v>
      </c>
      <c r="AI67" s="72">
        <f>IF(ISBLANK(S67),"",VLOOKUP(S67,'[1]plan gier'!$X:$AN,13,FALSE))</f>
        <v>3</v>
      </c>
      <c r="AJ67" s="72">
        <f>IF(ISBLANK(S67),"",VLOOKUP(S67,'[1]plan gier'!$X:$AN,14,FALSE))</f>
        <v>21</v>
      </c>
      <c r="AK67" s="72">
        <f>IF(ISBLANK(S67),"",VLOOKUP(S67,'[1]plan gier'!$X:$AN,15,FALSE))</f>
        <v>3</v>
      </c>
      <c r="AL67" s="72">
        <f>IF(ISBLANK(S67),"",VLOOKUP(S67,'[1]plan gier'!$X:$AN,16,FALSE))</f>
        <v>0</v>
      </c>
      <c r="AM67" s="72">
        <f>IF(ISBLANK(S67),"",VLOOKUP(S67,'[1]plan gier'!$X:$AN,17,FALSE))</f>
        <v>0</v>
      </c>
      <c r="AN67" s="73">
        <f t="shared" si="5"/>
        <v>21</v>
      </c>
      <c r="AO67" s="72">
        <f t="shared" si="5"/>
        <v>3</v>
      </c>
      <c r="AP67" s="74">
        <f t="shared" si="5"/>
        <v>21</v>
      </c>
      <c r="AQ67" s="72">
        <f t="shared" si="5"/>
        <v>3</v>
      </c>
      <c r="AR67" s="74">
        <f t="shared" si="5"/>
        <v>0</v>
      </c>
      <c r="AS67" s="72">
        <f t="shared" si="5"/>
        <v>0</v>
      </c>
      <c r="AT67" s="51">
        <f>SUM(AN67:AS67)</f>
        <v>48</v>
      </c>
      <c r="AU67" s="52">
        <v>3</v>
      </c>
      <c r="AV67" s="71">
        <f>IF(AH65&lt;AI65,1,0)+IF(AJ65&lt;AK65,1,0)+IF(AL65&lt;AM65,1,0)</f>
        <v>0</v>
      </c>
      <c r="AW67" s="72">
        <f>AZ65</f>
        <v>2</v>
      </c>
      <c r="AX67" s="72">
        <f>IF(AH66&lt;AI66,1,0)+IF(AJ66&lt;AK66,1,0)+IF(AL66&lt;AM66,1,0)</f>
        <v>0</v>
      </c>
      <c r="AY67" s="72">
        <f>AZ66</f>
        <v>2</v>
      </c>
      <c r="AZ67" s="75"/>
      <c r="BA67" s="76"/>
      <c r="BD67" s="71">
        <f>AO65+AQ65+AS65+AO66+AQ66+AS66</f>
        <v>31</v>
      </c>
      <c r="BE67" s="77">
        <f>AN65+AP65+AR65+AN66+AP66+AR66</f>
        <v>84</v>
      </c>
      <c r="BF67" s="71">
        <f>AV67+AX67</f>
        <v>0</v>
      </c>
      <c r="BG67" s="77">
        <f>AW67+AY67</f>
        <v>4</v>
      </c>
      <c r="BH67" s="71">
        <f>IF(AV67&gt;AW67,1,0)+IF(AX67&gt;AY67,1,0)</f>
        <v>0</v>
      </c>
      <c r="BI67" s="78">
        <f>IF(AW67&gt;AV67,1,0)+IF(AY67&gt;AX67,1,0)</f>
        <v>2</v>
      </c>
      <c r="BJ67" s="79">
        <f>IF(BH67+BI67=0,"",IF(BK67=MAX(BK65:BK67),1,IF(BK67=MIN(BK65:BK67),3,2)))</f>
        <v>3</v>
      </c>
      <c r="BK67" s="13">
        <f>IF(BH67+BI67&lt;&gt;0,BH67-BI67+(BF67-BG67)/100+(BD67-BE67)/10000,-2)</f>
        <v>-2.0453</v>
      </c>
    </row>
    <row r="68" spans="1:59" ht="11.25" customHeight="1">
      <c r="A68" s="2"/>
      <c r="J68" s="23"/>
      <c r="K68" s="23"/>
      <c r="L68" s="23"/>
      <c r="O68" s="23"/>
      <c r="P68" s="23"/>
      <c r="Q68" s="2"/>
      <c r="R68" s="2"/>
      <c r="S68" s="2"/>
      <c r="T68" s="279">
        <v>3</v>
      </c>
      <c r="U68" s="280">
        <f>IF(AND(N69&lt;&gt;"",N70&lt;&gt;""),CONCATENATE(VLOOKUP(N69,'[1]zawodnicy'!$A:$E,1,FALSE)," ",VLOOKUP(N69,'[1]zawodnicy'!$A:$E,2,FALSE)," ",VLOOKUP(N69,'[1]zawodnicy'!$A:$E,3,FALSE)," - ",VLOOKUP(N69,'[1]zawodnicy'!$A:$E,4,FALSE)),"")</f>
      </c>
      <c r="V68" s="281"/>
      <c r="W68" s="43" t="str">
        <f>IF(SUM(AN65:AO65)=0,"",AO65&amp;":"&amp;AN65)</f>
        <v>0:21</v>
      </c>
      <c r="X68" s="80" t="str">
        <f>IF(SUM(AN66:AO66)=0,"",AO66&amp;":"&amp;AN66)</f>
        <v>9:21</v>
      </c>
      <c r="Y68" s="81"/>
      <c r="Z68" s="279" t="str">
        <f>IF(SUM(AV67:AY67)=0,"",BD67&amp;":"&amp;BE67)</f>
        <v>31:84</v>
      </c>
      <c r="AA68" s="282" t="str">
        <f>IF(SUM(AV67:AY67)=0,"",BF67&amp;":"&amp;BG67)</f>
        <v>0:4</v>
      </c>
      <c r="AB68" s="282" t="str">
        <f>IF(SUM(AV67:AY67)=0,"",BH67&amp;":"&amp;BI67)</f>
        <v>0:2</v>
      </c>
      <c r="AC68" s="283">
        <f>IF(SUM(BH65:BH67)&gt;0,BJ67,"")</f>
        <v>3</v>
      </c>
      <c r="AD68" s="2"/>
      <c r="AE68" s="22"/>
      <c r="AF68" s="22"/>
      <c r="BD68" s="12">
        <f>SUM(BD65:BD67)</f>
        <v>163</v>
      </c>
      <c r="BE68" s="12">
        <f>SUM(BE65:BE67)</f>
        <v>163</v>
      </c>
      <c r="BF68" s="12">
        <f>SUM(BF65:BF67)</f>
        <v>6</v>
      </c>
      <c r="BG68" s="12">
        <f>SUM(BG65:BG67)</f>
        <v>6</v>
      </c>
    </row>
    <row r="69" spans="1:63" ht="11.25" customHeight="1">
      <c r="A69" s="12"/>
      <c r="J69" s="12"/>
      <c r="K69" s="12"/>
      <c r="L69" s="12"/>
      <c r="N69" s="30" t="s">
        <v>34</v>
      </c>
      <c r="O69" s="31">
        <f>IF(O61&gt;0,(O61&amp;3)*1,"")</f>
        <v>63</v>
      </c>
      <c r="Q69" s="82"/>
      <c r="R69" s="82"/>
      <c r="S69" s="42"/>
      <c r="T69" s="260"/>
      <c r="U69" s="271" t="str">
        <f>IF(AND(N69&lt;&gt;"",N70=""),CONCATENATE(VLOOKUP(N69,'[1]zawodnicy'!$A:$E,1,FALSE)," ",VLOOKUP(N69,'[1]zawodnicy'!$A:$E,2,FALSE)," ",VLOOKUP(N69,'[1]zawodnicy'!$A:$E,3,FALSE)," - ",VLOOKUP(N69,'[1]zawodnicy'!$A:$E,4,FALSE)),"")</f>
        <v>L0005 Izabela LASOTA - Żupawa</v>
      </c>
      <c r="V69" s="272"/>
      <c r="W69" s="58" t="str">
        <f>IF(SUM(AP65:AQ65)=0,"",AQ65&amp;":"&amp;AP65)</f>
        <v>5:21</v>
      </c>
      <c r="X69" s="33" t="str">
        <f>IF(SUM(AP66:AQ66)=0,"",AQ66&amp;":"&amp;AP66)</f>
        <v>17:21</v>
      </c>
      <c r="Y69" s="83"/>
      <c r="Z69" s="260"/>
      <c r="AA69" s="265"/>
      <c r="AB69" s="265"/>
      <c r="AC69" s="268"/>
      <c r="AD69" s="2"/>
      <c r="AE69" s="22"/>
      <c r="AF69" s="2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11.25" customHeight="1" thickBot="1">
      <c r="A70" s="2"/>
      <c r="J70" s="23"/>
      <c r="K70" s="23"/>
      <c r="L70" s="23"/>
      <c r="N70" s="35"/>
      <c r="O70" s="23"/>
      <c r="P70" s="23"/>
      <c r="Q70" s="2"/>
      <c r="R70" s="2"/>
      <c r="S70" s="2"/>
      <c r="T70" s="284"/>
      <c r="U70" s="287">
        <f>IF(N70&lt;&gt;"",CONCATENATE(VLOOKUP(N70,'[1]zawodnicy'!$A:$E,1,FALSE)," ",VLOOKUP(N70,'[1]zawodnicy'!$A:$E,2,FALSE)," ",VLOOKUP(N70,'[1]zawodnicy'!$A:$E,3,FALSE)," - ",VLOOKUP(N70,'[1]zawodnicy'!$A:$E,4,FALSE)),"")</f>
      </c>
      <c r="V70" s="288"/>
      <c r="W70" s="84">
        <f>IF(SUM(AR65:AS65)=0,"",AS65&amp;":"&amp;AR65)</f>
      </c>
      <c r="X70" s="85">
        <f>IF(SUM(AR66:AS66)=0,"",AS66&amp;":"&amp;AR66)</f>
      </c>
      <c r="Y70" s="86"/>
      <c r="Z70" s="284"/>
      <c r="AA70" s="285"/>
      <c r="AB70" s="285"/>
      <c r="AC70" s="286"/>
      <c r="AD70" s="29"/>
      <c r="AE70" s="22"/>
      <c r="AF70" s="2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ht="11.25" customHeight="1"/>
    <row r="72" ht="11.25" customHeight="1">
      <c r="U72" s="87" t="s">
        <v>35</v>
      </c>
    </row>
    <row r="73" spans="10:32" ht="11.25" customHeight="1">
      <c r="J73" s="2"/>
      <c r="N73" s="88" t="s">
        <v>0</v>
      </c>
      <c r="P73" s="89"/>
      <c r="Q73" s="1"/>
      <c r="R73" s="1"/>
      <c r="S73" s="1"/>
      <c r="T73" s="90"/>
      <c r="U73" s="91"/>
      <c r="V73" s="91"/>
      <c r="W73" s="91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1.25" customHeight="1">
      <c r="A74" s="92">
        <f>V74</f>
        <v>0</v>
      </c>
      <c r="B74" s="2" t="str">
        <f>IF(TYPE(S74)=16,"",S74)</f>
        <v>M0026</v>
      </c>
      <c r="F74" s="2" t="str">
        <f>IF(A74=0,IF(AND(LEN(B74)&gt;0,LEN(D74)=0),VLOOKUP(B74,'[1]zawodnicy'!$A:$E,1,FALSE),IF(AND(LEN(D74)&gt;0,LEN(B74)=0),VLOOKUP(D74,'[1]zawodnicy'!$A:$E,1,FALSE),"")),IF((VLOOKUP(A74,'[1]plan gier'!$X:$AF,7,FALSE))="","",VLOOKUP(VLOOKUP(A74,'[1]plan gier'!$X:$AF,7,FALSE),'[1]zawodnicy'!$A:$E,1,FALSE)))</f>
        <v>M0026</v>
      </c>
      <c r="H74" s="2">
        <f>IF(A74=0,"",IF((VLOOKUP(A74,'[1]plan gier'!$X:$AF,7,FALSE))="","",VLOOKUP(A74,'[1]plan gier'!$X:$AF,9,FALSE)))</f>
      </c>
      <c r="J74" s="93"/>
      <c r="L74" s="40">
        <f>IF(A74=0,"",IF(VLOOKUP(A74,'[1]plan gier'!A:S,19,FALSE)="","",VLOOKUP(A74,'[1]plan gier'!A:S,19,FALSE)))</f>
      </c>
      <c r="M74" s="2" t="str">
        <f>N73</f>
        <v>Beginners</v>
      </c>
      <c r="N74" s="94"/>
      <c r="O74" s="95"/>
      <c r="P74" s="94"/>
      <c r="Q74" s="289" t="s">
        <v>36</v>
      </c>
      <c r="R74" s="290"/>
      <c r="S74" s="291" t="str">
        <f>UPPER(IF((N73=""),"",IF(TYPE(VLOOKUP(1&amp;1&amp;N73,I:J,2,FALSE))=2,VLOOKUP(1&amp;1&amp;N73,I:J,2,FALSE),"")))</f>
        <v>M0026</v>
      </c>
      <c r="T74" s="292"/>
      <c r="U74" s="292" t="str">
        <f>IF(S74&lt;&gt;"",CONCATENATE(VLOOKUP(S74,'[1]zawodnicy'!$A:$E,2,FALSE)," ",VLOOKUP(S74,'[1]zawodnicy'!$A:$E,3,FALSE)," - ",VLOOKUP(S74,'[1]zawodnicy'!$A:$E,4,FALSE)),"")</f>
        <v>Wojciech MACHAJ - Mielec</v>
      </c>
      <c r="V74" s="295"/>
      <c r="W74" s="297" t="str">
        <f>IF(LEN(S74)&gt;0,VLOOKUP(S74,'[1]zawodnicy'!$A:$E,3,FALSE),"")</f>
        <v>MACHAJ</v>
      </c>
      <c r="X74" s="298"/>
      <c r="Y74" s="298"/>
      <c r="Z74" s="2"/>
      <c r="AA74" s="2"/>
      <c r="AB74" s="2"/>
      <c r="AC74" s="2"/>
      <c r="AD74" s="2"/>
      <c r="AE74" s="2"/>
      <c r="AF74" s="2"/>
    </row>
    <row r="75" spans="10:32" ht="11.25" customHeight="1">
      <c r="J75" s="93"/>
      <c r="N75" s="94"/>
      <c r="O75" s="95"/>
      <c r="P75" s="94"/>
      <c r="Q75" s="289"/>
      <c r="R75" s="290"/>
      <c r="S75" s="293"/>
      <c r="T75" s="294"/>
      <c r="U75" s="294"/>
      <c r="V75" s="296"/>
      <c r="W75" s="299"/>
      <c r="X75" s="300"/>
      <c r="Y75" s="301"/>
      <c r="Z75" s="2"/>
      <c r="AA75" s="2"/>
      <c r="AB75" s="2"/>
      <c r="AC75" s="2"/>
      <c r="AD75" s="2"/>
      <c r="AE75" s="2"/>
      <c r="AF75" s="2"/>
    </row>
    <row r="76" spans="1:32" ht="11.25" customHeight="1">
      <c r="A76" s="98">
        <f>Y76</f>
        <v>23</v>
      </c>
      <c r="B76" s="2" t="str">
        <f>F74</f>
        <v>M0026</v>
      </c>
      <c r="D76" s="2" t="str">
        <f>F78</f>
        <v>S0035</v>
      </c>
      <c r="F76" s="2" t="str">
        <f>IF(A76=0,IF(AND(LEN(B76)&gt;0,LEN(D76)=0),B76,IF(AND(LEN(D76)&gt;0,LEN(B76)=0),D76,"")),IF((VLOOKUP(A76,'[1]plan gier'!$X:$AF,7,FALSE))="","",VLOOKUP(VLOOKUP(A76,'[1]plan gier'!$X:$AF,7,FALSE),'[1]zawodnicy'!$A:$E,1,FALSE)))</f>
        <v>M0026</v>
      </c>
      <c r="H76" s="2" t="str">
        <f>IF(A76=0,"",IF((VLOOKUP(A76,'[1]plan gier'!$X:$AF,7,FALSE))="","",VLOOKUP(A76,'[1]plan gier'!$X:$AF,9,FALSE)))</f>
        <v>16:21,21:12,21:17</v>
      </c>
      <c r="J76" s="93"/>
      <c r="L76" s="40" t="str">
        <f>IF(A76=0,"",IF(VLOOKUP(A76,'[1]plan gier'!A:S,19,FALSE)="","",VLOOKUP(A76,'[1]plan gier'!A:S,19,FALSE)))</f>
        <v>godz.10:40</v>
      </c>
      <c r="M76" s="2" t="str">
        <f>N73</f>
        <v>Beginners</v>
      </c>
      <c r="N76" s="94"/>
      <c r="O76" s="95"/>
      <c r="P76" s="94"/>
      <c r="S76" s="99"/>
      <c r="T76" s="100"/>
      <c r="U76" s="2"/>
      <c r="V76" s="2"/>
      <c r="W76" s="101"/>
      <c r="X76" s="29"/>
      <c r="Y76" s="102">
        <v>23</v>
      </c>
      <c r="Z76" s="298" t="str">
        <f>IF(ISBLANK(Y76),IF(AND(LEN(W74)&gt;0,LEN(W78)=0),W74,IF(AND(LEN(W78)&gt;0,LEN(W74)=0),W78,"")),IF((VLOOKUP(Y76,'[1]plan gier'!$X:$AF,7,FALSE))="","",VLOOKUP(VLOOKUP(Y76,'[1]plan gier'!$X:$AF,7,FALSE),'[1]zawodnicy'!$A:$E,3,FALSE)))</f>
        <v>MACHAJ</v>
      </c>
      <c r="AA76" s="298"/>
      <c r="AB76" s="298"/>
      <c r="AC76" s="2"/>
      <c r="AD76" s="2"/>
      <c r="AE76" s="2"/>
      <c r="AF76" s="2"/>
    </row>
    <row r="77" spans="10:63" ht="11.25" customHeight="1">
      <c r="J77" s="93"/>
      <c r="N77" s="94"/>
      <c r="O77" s="95"/>
      <c r="P77" s="94"/>
      <c r="S77" s="99"/>
      <c r="T77" s="100"/>
      <c r="U77" s="2"/>
      <c r="V77" s="2"/>
      <c r="W77" s="101"/>
      <c r="X77" s="29"/>
      <c r="Y77" s="103"/>
      <c r="Z77" s="300" t="str">
        <f>IF(ISBLANK(Y76),"",IF((VLOOKUP(Y76,'[1]plan gier'!$X:$AF,7,FALSE))="",L76,VLOOKUP(Y76,'[1]plan gier'!$X:$AF,9,FALSE)))</f>
        <v>16:21,21:12,21:17</v>
      </c>
      <c r="AA77" s="300"/>
      <c r="AB77" s="301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63" ht="11.25" customHeight="1">
      <c r="A78" s="92">
        <f>V78</f>
        <v>19</v>
      </c>
      <c r="B78" s="2" t="str">
        <f>IF(TYPE(S78)=16,"",S78)</f>
        <v>S0035</v>
      </c>
      <c r="D78" s="2" t="str">
        <f>IF(TYPE(S79)=16,"",S79)</f>
        <v>W0012</v>
      </c>
      <c r="F78" s="2" t="str">
        <f>IF(A78=0,IF(AND(LEN(B78)&gt;0,LEN(D78)=0),VLOOKUP(B78,'[1]zawodnicy'!$A:$E,1,FALSE),IF(AND(LEN(D78)&gt;0,LEN(B78)=0),VLOOKUP(D78,'[1]zawodnicy'!$A:$E,1,FALSE),"")),IF((VLOOKUP(A78,'[1]plan gier'!$X:$AF,7,FALSE))="","",VLOOKUP(VLOOKUP(A78,'[1]plan gier'!$X:$AF,7,FALSE),'[1]zawodnicy'!$A:$E,1,FALSE)))</f>
        <v>S0035</v>
      </c>
      <c r="H78" s="2" t="str">
        <f>IF(A78=0,"",IF((VLOOKUP(A78,'[1]plan gier'!$X:$AF,7,FALSE))="","",VLOOKUP(A78,'[1]plan gier'!$X:$AF,9,FALSE)))</f>
        <v>21:12,21:16</v>
      </c>
      <c r="J78" s="93"/>
      <c r="L78" s="40" t="str">
        <f>IF(A78=0,"",IF(VLOOKUP(A78,'[1]plan gier'!A:S,19,FALSE)="","",VLOOKUP(A78,'[1]plan gier'!A:S,19,FALSE)))</f>
        <v>godz.10:20</v>
      </c>
      <c r="M78" s="2" t="str">
        <f>N73</f>
        <v>Beginners</v>
      </c>
      <c r="N78" s="94"/>
      <c r="O78" s="95"/>
      <c r="P78" s="94"/>
      <c r="Q78" s="87" t="s">
        <v>37</v>
      </c>
      <c r="S78" s="302" t="str">
        <f>UPPER(IF(N73="","",IF(TYPE(VLOOKUP(1&amp;3&amp;N73,I:J,2,FALSE))=2,VLOOKUP(1&amp;3&amp;N73,I:J,2,FALSE),"")))</f>
        <v>S0035</v>
      </c>
      <c r="T78" s="303"/>
      <c r="U78" s="104" t="str">
        <f>IF(S78&lt;&gt;"",CONCATENATE(VLOOKUP(S78,'[1]zawodnicy'!$A:$E,2,FALSE)," ",VLOOKUP(S78,'[1]zawodnicy'!$A:$E,3,FALSE)," - ",VLOOKUP(S78,'[1]zawodnicy'!$A:$E,4,FALSE)),"")</f>
        <v>Kuba SITEK - Rzeszów</v>
      </c>
      <c r="V78" s="105">
        <v>19</v>
      </c>
      <c r="W78" s="297" t="str">
        <f>IF(ISBLANK(V78),IF(AND(LEN(S78)&gt;0,LEN(S79)=0),VLOOKUP(S78,'[1]zawodnicy'!$A:$E,3,FALSE),IF(AND(LEN(S79)&gt;0,LEN(S78)=0),VLOOKUP(S79,'[1]zawodnicy'!$A:$E,3,FALSE),"")),IF((VLOOKUP(V78,'[1]plan gier'!$X:$AF,7,FALSE))="","",VLOOKUP(VLOOKUP(V78,'[1]plan gier'!$X:$AF,7,FALSE),'[1]zawodnicy'!$A:$E,3,FALSE)))</f>
        <v>SITEK</v>
      </c>
      <c r="X78" s="298"/>
      <c r="Y78" s="304"/>
      <c r="Z78" s="29"/>
      <c r="AA78" s="29"/>
      <c r="AB78" s="106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0:63" ht="11.25" customHeight="1">
      <c r="J79" s="93"/>
      <c r="N79" s="94"/>
      <c r="O79" s="95"/>
      <c r="P79" s="94"/>
      <c r="Q79" s="87" t="s">
        <v>38</v>
      </c>
      <c r="S79" s="302" t="str">
        <f>UPPER(IF(N73="","",IF(TYPE(VLOOKUP(2&amp;6&amp;N73,I:J,2,FALSE))=2,VLOOKUP(2&amp;6&amp;N73,I:J,2,FALSE),"")))</f>
        <v>W0012</v>
      </c>
      <c r="T79" s="303"/>
      <c r="U79" s="104" t="str">
        <f>IF(S79&lt;&gt;"",CONCATENATE(VLOOKUP(S79,'[1]zawodnicy'!$A:$E,2,FALSE)," ",VLOOKUP(S79,'[1]zawodnicy'!$A:$E,3,FALSE)," - ",VLOOKUP(S79,'[1]zawodnicy'!$A:$E,4,FALSE)),"")</f>
        <v>Tomasz WYDRO - Mielec</v>
      </c>
      <c r="V79" s="107"/>
      <c r="W79" s="305" t="str">
        <f>IF(ISBLANK(V78),"",IF((VLOOKUP(V78,'[1]plan gier'!$X:$AF,7,FALSE))="",L78,VLOOKUP(V78,'[1]plan gier'!$X:$AF,9,FALSE)))</f>
        <v>21:12,21:16</v>
      </c>
      <c r="X79" s="306"/>
      <c r="Y79" s="306"/>
      <c r="Z79" s="29"/>
      <c r="AA79" s="29"/>
      <c r="AB79" s="106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11.25" customHeight="1">
      <c r="A80" s="109">
        <f>AB80</f>
        <v>27</v>
      </c>
      <c r="B80" s="2" t="str">
        <f>F76</f>
        <v>M0026</v>
      </c>
      <c r="D80" s="2" t="str">
        <f>F84</f>
        <v>G0014</v>
      </c>
      <c r="F80" s="2" t="str">
        <f>IF(A80=0,IF(AND(LEN(B80)&gt;0,LEN(D80)=0),B80,IF(AND(LEN(D80)&gt;0,LEN(B80)=0),D80,"")),IF((VLOOKUP(A80,'[1]plan gier'!$X:$AF,7,FALSE))="","",VLOOKUP(VLOOKUP(A80,'[1]plan gier'!$X:$AF,7,FALSE),'[1]zawodnicy'!$A:$E,1,FALSE)))</f>
        <v>G0014</v>
      </c>
      <c r="H80" s="2" t="str">
        <f>IF(A80=0,"",IF((VLOOKUP(A80,'[1]plan gier'!$X:$AF,7,FALSE))="","",VLOOKUP(A80,'[1]plan gier'!$X:$AF,9,FALSE)))</f>
        <v>21:17,21:18</v>
      </c>
      <c r="J80" s="93"/>
      <c r="L80" s="40" t="str">
        <f>IF(A80=0,"",IF(VLOOKUP(A80,'[1]plan gier'!A:S,19,FALSE)="","",VLOOKUP(A80,'[1]plan gier'!A:S,19,FALSE)))</f>
        <v>godz.11:00</v>
      </c>
      <c r="M80" s="2" t="str">
        <f>N73</f>
        <v>Beginners</v>
      </c>
      <c r="N80" s="94"/>
      <c r="O80" s="95"/>
      <c r="P80" s="94"/>
      <c r="S80" s="99"/>
      <c r="T80" s="100"/>
      <c r="U80" s="101"/>
      <c r="V80" s="2"/>
      <c r="W80" s="29"/>
      <c r="X80" s="2"/>
      <c r="Y80" s="2"/>
      <c r="Z80" s="29"/>
      <c r="AA80" s="29"/>
      <c r="AB80" s="102">
        <v>27</v>
      </c>
      <c r="AC80" s="298" t="str">
        <f>IF(ISBLANK(AB80),IF(AND(LEN(Z76)&gt;0,LEN(Z84)=0),Z76,IF(AND(LEN(Z84)&gt;0,LEN(Z76)=0),Z84,"")),IF((VLOOKUP(AB80,'[1]plan gier'!$X:$AF,7,FALSE))="","",VLOOKUP(VLOOKUP(AB80,'[1]plan gier'!$X:$AF,7,FALSE),'[1]zawodnicy'!$A:$E,3,FALSE)))</f>
        <v>GŁOWACKI</v>
      </c>
      <c r="AD80" s="298"/>
      <c r="AE80" s="298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0:63" ht="11.25" customHeight="1">
      <c r="J81" s="93"/>
      <c r="N81" s="94"/>
      <c r="O81" s="95"/>
      <c r="P81" s="94"/>
      <c r="S81" s="99"/>
      <c r="T81" s="100"/>
      <c r="U81" s="101"/>
      <c r="V81" s="2"/>
      <c r="W81" s="29"/>
      <c r="X81" s="2"/>
      <c r="Y81" s="2"/>
      <c r="Z81" s="29"/>
      <c r="AA81" s="29"/>
      <c r="AB81" s="103"/>
      <c r="AC81" s="300" t="str">
        <f>IF(ISBLANK(AB80),"",IF((VLOOKUP(AB80,'[1]plan gier'!$X:$AF,7,FALSE))="",L80,VLOOKUP(AB80,'[1]plan gier'!$X:$AF,9,FALSE)))</f>
        <v>21:17,21:18</v>
      </c>
      <c r="AD81" s="300"/>
      <c r="AE81" s="301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3" ht="11.25" customHeight="1">
      <c r="A82" s="92">
        <f>V82</f>
        <v>0</v>
      </c>
      <c r="B82" s="2" t="str">
        <f>IF(TYPE(S82)=16,"",S82)</f>
        <v>W0013</v>
      </c>
      <c r="F82" s="2" t="str">
        <f>IF(A82=0,IF(AND(LEN(B82)&gt;0,LEN(D82)=0),VLOOKUP(B82,'[1]zawodnicy'!$A:$E,1,FALSE),IF(AND(LEN(D82)&gt;0,LEN(B82)=0),VLOOKUP(D82,'[1]zawodnicy'!$A:$E,1,FALSE),"")),IF((VLOOKUP(A82,'[1]plan gier'!$X:$AF,7,FALSE))="","",VLOOKUP(VLOOKUP(A82,'[1]plan gier'!$X:$AF,7,FALSE),'[1]zawodnicy'!$A:$E,1,FALSE)))</f>
        <v>W0013</v>
      </c>
      <c r="H82" s="2">
        <f>IF(A82=0,"",IF((VLOOKUP(A82,'[1]plan gier'!$X:$AF,7,FALSE))="","",VLOOKUP(A82,'[1]plan gier'!$X:$AF,9,FALSE)))</f>
      </c>
      <c r="J82" s="93"/>
      <c r="L82" s="40">
        <f>IF(A82=0,"",IF(VLOOKUP(A82,'[1]plan gier'!A:S,19,FALSE)="","",VLOOKUP(A82,'[1]plan gier'!A:S,19,FALSE)))</f>
      </c>
      <c r="M82" s="2" t="str">
        <f>N73</f>
        <v>Beginners</v>
      </c>
      <c r="N82" s="94"/>
      <c r="O82" s="95"/>
      <c r="P82" s="94"/>
      <c r="Q82" s="289" t="s">
        <v>39</v>
      </c>
      <c r="R82" s="290"/>
      <c r="S82" s="291" t="str">
        <f>UPPER(IF(N73="","",IF(TYPE(VLOOKUP(1&amp;2&amp;N73,I:J,2,FALSE))=2,VLOOKUP(1&amp;2&amp;N73,I:J,2,FALSE),"")))</f>
        <v>W0013</v>
      </c>
      <c r="T82" s="292"/>
      <c r="U82" s="292" t="str">
        <f>IF(S82&lt;&gt;"",CONCATENATE(VLOOKUP(S82,'[1]zawodnicy'!$A:$E,2,FALSE)," ",VLOOKUP(S82,'[1]zawodnicy'!$A:$E,3,FALSE)," - ",VLOOKUP(S82,'[1]zawodnicy'!$A:$E,4,FALSE)),"")</f>
        <v>Olaf WARNECKI - Rzeszów</v>
      </c>
      <c r="V82" s="295"/>
      <c r="W82" s="297" t="str">
        <f>IF(ISBLANK(V82),IF(AND(LEN(S82)&gt;0,LEN(S83)=0),VLOOKUP(S82,'[1]zawodnicy'!$A:$E,3,FALSE),IF(AND(LEN(S83)&gt;0,LEN(S82)=0),VLOOKUP(S83,'[1]zawodnicy'!$A:$E,3,FALSE),"")),IF((VLOOKUP(V82,'[1]plan gier'!$X:$AF,7,FALSE))="","",VLOOKUP(VLOOKUP(V82,'[1]plan gier'!$X:$AF,7,FALSE),'[1]zawodnicy'!$A:$E,3,FALSE)))</f>
        <v>WARNECKI</v>
      </c>
      <c r="X82" s="298"/>
      <c r="Y82" s="298"/>
      <c r="Z82" s="29"/>
      <c r="AA82" s="29"/>
      <c r="AB82" s="106"/>
      <c r="AC82" s="29"/>
      <c r="AD82" s="29"/>
      <c r="AE82" s="106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0:63" ht="11.25" customHeight="1">
      <c r="J83" s="93"/>
      <c r="N83" s="94"/>
      <c r="O83" s="95"/>
      <c r="P83" s="94"/>
      <c r="Q83" s="289"/>
      <c r="R83" s="290"/>
      <c r="S83" s="293"/>
      <c r="T83" s="294"/>
      <c r="U83" s="294"/>
      <c r="V83" s="296"/>
      <c r="W83" s="299"/>
      <c r="X83" s="300"/>
      <c r="Y83" s="301"/>
      <c r="Z83" s="29"/>
      <c r="AA83" s="29"/>
      <c r="AB83" s="106"/>
      <c r="AC83" s="29"/>
      <c r="AD83" s="29"/>
      <c r="AE83" s="10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:63" ht="11.25" customHeight="1">
      <c r="A84" s="98">
        <f>Y84</f>
        <v>24</v>
      </c>
      <c r="B84" s="2" t="str">
        <f>F82</f>
        <v>W0013</v>
      </c>
      <c r="D84" s="2" t="str">
        <f>F86</f>
        <v>G0014</v>
      </c>
      <c r="F84" s="2" t="str">
        <f>IF(A84=0,IF(AND(LEN(B84)&gt;0,LEN(D84)=0),B84,IF(AND(LEN(D84)&gt;0,LEN(B84)=0),D84,"")),IF((VLOOKUP(A84,'[1]plan gier'!$X:$AF,7,FALSE))="","",VLOOKUP(VLOOKUP(A84,'[1]plan gier'!$X:$AF,7,FALSE),'[1]zawodnicy'!$A:$E,1,FALSE)))</f>
        <v>G0014</v>
      </c>
      <c r="H84" s="2" t="str">
        <f>IF(A84=0,"",IF((VLOOKUP(A84,'[1]plan gier'!$X:$AF,7,FALSE))="","",VLOOKUP(A84,'[1]plan gier'!$X:$AF,9,FALSE)))</f>
        <v>21:13,21:12</v>
      </c>
      <c r="J84" s="93"/>
      <c r="L84" s="40" t="str">
        <f>IF(A84=0,"",IF(VLOOKUP(A84,'[1]plan gier'!A:S,19,FALSE)="","",VLOOKUP(A84,'[1]plan gier'!A:S,19,FALSE)))</f>
        <v>godz.10:40</v>
      </c>
      <c r="M84" s="2" t="str">
        <f>N73</f>
        <v>Beginners</v>
      </c>
      <c r="N84" s="94"/>
      <c r="O84" s="95"/>
      <c r="P84" s="94"/>
      <c r="S84" s="99"/>
      <c r="T84" s="100"/>
      <c r="U84" s="2"/>
      <c r="V84" s="2"/>
      <c r="W84" s="101"/>
      <c r="X84" s="29"/>
      <c r="Y84" s="102">
        <v>24</v>
      </c>
      <c r="Z84" s="298" t="str">
        <f>IF(ISBLANK(Y84),IF(AND(LEN(W82)&gt;0,LEN(W86)=0),W82,IF(AND(LEN(W86)&gt;0,LEN(W82)=0),W86,"")),IF((VLOOKUP(Y84,'[1]plan gier'!$X:$AF,7,FALSE))="","",VLOOKUP(VLOOKUP(Y84,'[1]plan gier'!$X:$AF,7,FALSE),'[1]zawodnicy'!$A:$E,3,FALSE)))</f>
        <v>GŁOWACKI</v>
      </c>
      <c r="AA84" s="298"/>
      <c r="AB84" s="304"/>
      <c r="AC84" s="29"/>
      <c r="AD84" s="29"/>
      <c r="AE84" s="106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0:63" ht="11.25" customHeight="1">
      <c r="J85" s="93"/>
      <c r="N85" s="94"/>
      <c r="O85" s="95"/>
      <c r="P85" s="94"/>
      <c r="S85" s="99"/>
      <c r="T85" s="100"/>
      <c r="U85" s="2"/>
      <c r="V85" s="2"/>
      <c r="W85" s="101"/>
      <c r="X85" s="29"/>
      <c r="Y85" s="103"/>
      <c r="Z85" s="306" t="str">
        <f>IF(ISBLANK(Y84),"",IF((VLOOKUP(Y84,'[1]plan gier'!$X:$AF,7,FALSE))="",L84,VLOOKUP(Y84,'[1]plan gier'!$X:$AF,9,FALSE)))</f>
        <v>21:13,21:12</v>
      </c>
      <c r="AA85" s="306"/>
      <c r="AB85" s="306"/>
      <c r="AC85" s="29"/>
      <c r="AD85" s="29"/>
      <c r="AE85" s="106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1:63" ht="11.25" customHeight="1">
      <c r="A86" s="92">
        <f>V86</f>
        <v>20</v>
      </c>
      <c r="B86" s="2" t="str">
        <f>IF(TYPE(S86)=16,"",S86)</f>
        <v>G0014</v>
      </c>
      <c r="D86" s="2" t="str">
        <f>IF(TYPE(S87)=16,"",S87)</f>
        <v>M0029</v>
      </c>
      <c r="F86" s="2" t="str">
        <f>IF(A86=0,IF(AND(LEN(B86)&gt;0,LEN(D86)=0),VLOOKUP(B86,'[1]zawodnicy'!$A:$E,1,FALSE),IF(AND(LEN(D86)&gt;0,LEN(B86)=0),VLOOKUP(D86,'[1]zawodnicy'!$A:$E,1,FALSE),"")),IF((VLOOKUP(A86,'[1]plan gier'!$X:$AF,7,FALSE))="","",VLOOKUP(VLOOKUP(A86,'[1]plan gier'!$X:$AF,7,FALSE),'[1]zawodnicy'!$A:$E,1,FALSE)))</f>
        <v>G0014</v>
      </c>
      <c r="H86" s="2" t="str">
        <f>IF(A86=0,"",IF((VLOOKUP(A86,'[1]plan gier'!$X:$AF,7,FALSE))="","",VLOOKUP(A86,'[1]plan gier'!$X:$AF,9,FALSE)))</f>
        <v>21:17,21:16</v>
      </c>
      <c r="J86" s="93"/>
      <c r="L86" s="40" t="str">
        <f>IF(A86=0,"",IF(VLOOKUP(A86,'[1]plan gier'!A:S,19,FALSE)="","",VLOOKUP(A86,'[1]plan gier'!A:S,19,FALSE)))</f>
        <v>godz.10:20</v>
      </c>
      <c r="M86" s="2" t="str">
        <f>N73</f>
        <v>Beginners</v>
      </c>
      <c r="N86" s="94"/>
      <c r="O86" s="95"/>
      <c r="P86" s="94"/>
      <c r="Q86" s="87" t="s">
        <v>40</v>
      </c>
      <c r="S86" s="302" t="str">
        <f>UPPER(IF(N73="","",IF(TYPE(VLOOKUP(2&amp;5&amp;N73,I:J,2,FALSE))=2,VLOOKUP(2&amp;5&amp;N73,I:J,2,FALSE),"")))</f>
        <v>G0014</v>
      </c>
      <c r="T86" s="303"/>
      <c r="U86" s="104" t="str">
        <f>IF(S86&lt;&gt;"",CONCATENATE(VLOOKUP(S86,'[1]zawodnicy'!$A:$E,2,FALSE)," ",VLOOKUP(S86,'[1]zawodnicy'!$A:$E,3,FALSE)," - ",VLOOKUP(S86,'[1]zawodnicy'!$A:$E,4,FALSE)),"")</f>
        <v>Eryk GŁOWACKI - Tarnowiec</v>
      </c>
      <c r="V86" s="105">
        <v>20</v>
      </c>
      <c r="W86" s="297" t="str">
        <f>IF(ISBLANK(V86),IF(AND(LEN(S86)&gt;0,LEN(S87)=0),VLOOKUP(S86,'[1]zawodnicy'!$A:$E,3,FALSE),IF(AND(LEN(S87)&gt;0,LEN(S86)=0),VLOOKUP(S87,'[1]zawodnicy'!$A:$E,3,FALSE),"")),IF((VLOOKUP(V86,'[1]plan gier'!$X:$AF,7,FALSE))="","",VLOOKUP(VLOOKUP(V86,'[1]plan gier'!$X:$AF,7,FALSE),'[1]zawodnicy'!$A:$E,3,FALSE)))</f>
        <v>GŁOWACKI</v>
      </c>
      <c r="X86" s="298"/>
      <c r="Y86" s="304"/>
      <c r="Z86" s="2"/>
      <c r="AA86" s="2"/>
      <c r="AB86" s="2"/>
      <c r="AC86" s="306"/>
      <c r="AD86" s="306"/>
      <c r="AE86" s="307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0:63" ht="11.25" customHeight="1">
      <c r="J87" s="93"/>
      <c r="N87" s="94"/>
      <c r="O87" s="95"/>
      <c r="P87" s="94"/>
      <c r="Q87" s="87" t="s">
        <v>41</v>
      </c>
      <c r="S87" s="302" t="str">
        <f>UPPER(IF(N73="","",IF(TYPE(VLOOKUP(2&amp;4&amp;N73,I:J,2,FALSE))=2,VLOOKUP(2&amp;4&amp;N73,I:J,2,FALSE),"")))</f>
        <v>M0029</v>
      </c>
      <c r="T87" s="303"/>
      <c r="U87" s="104" t="str">
        <f>IF(S87&lt;&gt;"",CONCATENATE(VLOOKUP(S87,'[1]zawodnicy'!$A:$E,2,FALSE)," ",VLOOKUP(S87,'[1]zawodnicy'!$A:$E,3,FALSE)," - ",VLOOKUP(S87,'[1]zawodnicy'!$A:$E,4,FALSE)),"")</f>
        <v>Mateusz MYSZKA - Żupawa</v>
      </c>
      <c r="V87" s="107"/>
      <c r="W87" s="305" t="str">
        <f>IF(ISBLANK(V86),"",IF((VLOOKUP(V86,'[1]plan gier'!$X:$AF,7,FALSE))="",L86,VLOOKUP(V86,'[1]plan gier'!$X:$AF,9,FALSE)))</f>
        <v>21:17,21:16</v>
      </c>
      <c r="X87" s="306"/>
      <c r="Y87" s="306"/>
      <c r="Z87" s="2"/>
      <c r="AA87" s="2"/>
      <c r="AB87" s="2"/>
      <c r="AC87" s="29"/>
      <c r="AD87" s="29"/>
      <c r="AE87" s="106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ht="11.25" customHeight="1">
      <c r="A88" s="110">
        <f>AB88</f>
        <v>30</v>
      </c>
      <c r="B88" s="2" t="str">
        <f>F80</f>
        <v>G0014</v>
      </c>
      <c r="D88" s="2" t="str">
        <f>F96</f>
        <v>B0020</v>
      </c>
      <c r="F88" s="2" t="str">
        <f>IF(A88=0,IF(AND(LEN(B88)&gt;0,LEN(D88)=0),B88,IF(AND(LEN(D88)&gt;0,LEN(B88)=0),D88,"")),IF((VLOOKUP(A88,'[1]plan gier'!$X:$AF,7,FALSE))="","",VLOOKUP(VLOOKUP(A88,'[1]plan gier'!$X:$AF,7,FALSE),'[1]zawodnicy'!$A:$E,1,FALSE)))</f>
        <v>B0020</v>
      </c>
      <c r="H88" s="2" t="str">
        <f>IF(A88=0,"",IF((VLOOKUP(A88,'[1]plan gier'!$X:$AF,7,FALSE))="","",VLOOKUP(A88,'[1]plan gier'!$X:$AF,9,FALSE)))</f>
        <v>21:12,21:8</v>
      </c>
      <c r="J88" s="93"/>
      <c r="L88" s="40" t="str">
        <f>IF(A88=0,"",IF(VLOOKUP(A88,'[1]plan gier'!A:S,19,FALSE)="","",VLOOKUP(A88,'[1]plan gier'!A:S,19,FALSE)))</f>
        <v>godz.11:20</v>
      </c>
      <c r="M88" s="2" t="str">
        <f>N73</f>
        <v>Beginners</v>
      </c>
      <c r="N88" s="94"/>
      <c r="O88" s="95"/>
      <c r="P88" s="94"/>
      <c r="S88" s="99"/>
      <c r="T88" s="100"/>
      <c r="U88" s="101"/>
      <c r="V88" s="2"/>
      <c r="W88" s="29"/>
      <c r="X88" s="2"/>
      <c r="Y88" s="2"/>
      <c r="Z88" s="2"/>
      <c r="AA88" s="2"/>
      <c r="AB88" s="111">
        <v>30</v>
      </c>
      <c r="AC88" s="298" t="str">
        <f>IF(ISBLANK(AB88),IF(AND(LEN(AC80)&gt;0,LEN(AC96)=0),AC80,IF(AND(LEN(AC96)&gt;0,LEN(AC80)=0),AC96,"")),IF((VLOOKUP(AB88,'[1]plan gier'!$X:$AF,7,FALSE))="","",VLOOKUP(VLOOKUP(AB88,'[1]plan gier'!$X:$AF,7,FALSE),'[1]zawodnicy'!$A:$E,3,FALSE)))</f>
        <v>BUKOWIŃSKA</v>
      </c>
      <c r="AD88" s="298"/>
      <c r="AE88" s="304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0:63" ht="11.25" customHeight="1">
      <c r="J89" s="93"/>
      <c r="N89" s="94"/>
      <c r="O89" s="95"/>
      <c r="P89" s="94"/>
      <c r="S89" s="99"/>
      <c r="T89" s="100"/>
      <c r="U89" s="101"/>
      <c r="V89" s="2"/>
      <c r="W89" s="29"/>
      <c r="X89" s="2"/>
      <c r="Y89" s="2"/>
      <c r="Z89" s="2"/>
      <c r="AA89" s="2"/>
      <c r="AB89" s="2"/>
      <c r="AC89" s="306" t="str">
        <f>IF(ISBLANK(AB88),"",IF((VLOOKUP(AB88,'[1]plan gier'!$X:$AF,7,FALSE))="",L88,VLOOKUP(AB88,'[1]plan gier'!$X:$AF,9,FALSE)))</f>
        <v>21:12,21:8</v>
      </c>
      <c r="AD89" s="306"/>
      <c r="AE89" s="307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1:63" ht="11.25" customHeight="1">
      <c r="A90" s="92">
        <f>V90</f>
        <v>21</v>
      </c>
      <c r="B90" s="2" t="str">
        <f>IF(TYPE(S90)=16,"",S90)</f>
        <v>K0041</v>
      </c>
      <c r="D90" s="2" t="str">
        <f>IF(TYPE(S91)=16,"",S91)</f>
        <v>R0017</v>
      </c>
      <c r="F90" s="2" t="str">
        <f>IF(A90=0,IF(AND(LEN(B90)&gt;0,LEN(D90)=0),VLOOKUP(B90,'[1]zawodnicy'!$A:$E,1,FALSE),IF(AND(LEN(D90)&gt;0,LEN(B90)=0),VLOOKUP(D90,'[1]zawodnicy'!$A:$E,1,FALSE),"")),IF((VLOOKUP(A90,'[1]plan gier'!$X:$AF,7,FALSE))="","",VLOOKUP(VLOOKUP(A90,'[1]plan gier'!$X:$AF,7,FALSE),'[1]zawodnicy'!$A:$E,1,FALSE)))</f>
        <v>R0017</v>
      </c>
      <c r="H90" s="2" t="str">
        <f>IF(A90=0,"",IF((VLOOKUP(A90,'[1]plan gier'!$X:$AF,7,FALSE))="","",VLOOKUP(A90,'[1]plan gier'!$X:$AF,9,FALSE)))</f>
        <v>21:16,21:16</v>
      </c>
      <c r="J90" s="93"/>
      <c r="L90" s="40" t="str">
        <f>IF(A90=0,"",IF(VLOOKUP(A90,'[1]plan gier'!A:S,19,FALSE)="","",VLOOKUP(A90,'[1]plan gier'!A:S,19,FALSE)))</f>
        <v>godz.10:40</v>
      </c>
      <c r="M90" s="2" t="str">
        <f>N73</f>
        <v>Beginners</v>
      </c>
      <c r="N90" s="94"/>
      <c r="O90" s="95"/>
      <c r="P90" s="94"/>
      <c r="Q90" s="87" t="s">
        <v>42</v>
      </c>
      <c r="S90" s="302" t="str">
        <f>UPPER(IF(N73="","",IF(TYPE(VLOOKUP(2&amp;3&amp;N73,I:J,2,FALSE))=2,VLOOKUP(2&amp;3&amp;N73,I:J,2,FALSE),"")))</f>
        <v>K0041</v>
      </c>
      <c r="T90" s="303"/>
      <c r="U90" s="104" t="str">
        <f>IF(S90&lt;&gt;"",CONCATENATE(VLOOKUP(S90,'[1]zawodnicy'!$A:$E,2,FALSE)," ",VLOOKUP(S90,'[1]zawodnicy'!$A:$E,3,FALSE)," - ",VLOOKUP(S90,'[1]zawodnicy'!$A:$E,4,FALSE)),"")</f>
        <v>Kamila KOWAL - Żupawa</v>
      </c>
      <c r="V90" s="105">
        <v>21</v>
      </c>
      <c r="W90" s="297" t="str">
        <f>IF(ISBLANK(V90),IF(AND(LEN(S90)&gt;0,LEN(S91)=0),VLOOKUP(S90,'[1]zawodnicy'!$A:$E,3,FALSE),IF(AND(LEN(S91)&gt;0,LEN(S90)=0),VLOOKUP(S91,'[1]zawodnicy'!$A:$E,3,FALSE),"")),IF((VLOOKUP(V90,'[1]plan gier'!$X:$AF,7,FALSE))="","",VLOOKUP(VLOOKUP(V90,'[1]plan gier'!$X:$AF,7,FALSE),'[1]zawodnicy'!$A:$E,3,FALSE)))</f>
        <v>RUSIN</v>
      </c>
      <c r="X90" s="298"/>
      <c r="Y90" s="298"/>
      <c r="Z90" s="2"/>
      <c r="AA90" s="2"/>
      <c r="AB90" s="2"/>
      <c r="AC90" s="29"/>
      <c r="AD90" s="29"/>
      <c r="AE90" s="106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0:63" ht="11.25" customHeight="1">
      <c r="J91" s="93"/>
      <c r="N91" s="94"/>
      <c r="O91" s="95"/>
      <c r="P91" s="94"/>
      <c r="Q91" s="87" t="s">
        <v>43</v>
      </c>
      <c r="S91" s="302" t="str">
        <f>UPPER(IF(N73="","",IF(TYPE(VLOOKUP(2&amp;2&amp;N73,I:J,2,FALSE))=2,VLOOKUP(2&amp;2&amp;N73,I:J,2,FALSE),"")))</f>
        <v>R0017</v>
      </c>
      <c r="T91" s="303"/>
      <c r="U91" s="104" t="str">
        <f>IF(S91&lt;&gt;"",CONCATENATE(VLOOKUP(S91,'[1]zawodnicy'!$A:$E,2,FALSE)," ",VLOOKUP(S91,'[1]zawodnicy'!$A:$E,3,FALSE)," - ",VLOOKUP(S91,'[1]zawodnicy'!$A:$E,4,FALSE)),"")</f>
        <v>Patryk RUSIN - Mielec</v>
      </c>
      <c r="V91" s="107"/>
      <c r="W91" s="299" t="str">
        <f>IF(ISBLANK(V90),"",IF((VLOOKUP(V90,'[1]plan gier'!$X:$AF,7,FALSE))="",L90,VLOOKUP(V90,'[1]plan gier'!$X:$AF,9,FALSE)))</f>
        <v>21:16,21:16</v>
      </c>
      <c r="X91" s="300"/>
      <c r="Y91" s="301"/>
      <c r="Z91" s="2"/>
      <c r="AA91" s="2"/>
      <c r="AB91" s="2"/>
      <c r="AC91" s="29"/>
      <c r="AD91" s="29"/>
      <c r="AE91" s="106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:63" ht="11.25" customHeight="1">
      <c r="A92" s="98">
        <f>Y92</f>
        <v>25</v>
      </c>
      <c r="B92" s="2" t="str">
        <f>F90</f>
        <v>R0017</v>
      </c>
      <c r="D92" s="2" t="str">
        <f>F94</f>
        <v>B0020</v>
      </c>
      <c r="F92" s="2" t="str">
        <f>IF(A92=0,IF(AND(LEN(B92)&gt;0,LEN(D92)=0),B92,IF(AND(LEN(D92)&gt;0,LEN(B92)=0),D92,"")),IF((VLOOKUP(A92,'[1]plan gier'!$X:$AF,7,FALSE))="","",VLOOKUP(VLOOKUP(A92,'[1]plan gier'!$X:$AF,7,FALSE),'[1]zawodnicy'!$A:$E,1,FALSE)))</f>
        <v>B0020</v>
      </c>
      <c r="H92" s="2" t="str">
        <f>IF(A92=0,"",IF((VLOOKUP(A92,'[1]plan gier'!$X:$AF,7,FALSE))="","",VLOOKUP(A92,'[1]plan gier'!$X:$AF,9,FALSE)))</f>
        <v>21:5,21:1</v>
      </c>
      <c r="J92" s="93"/>
      <c r="L92" s="40" t="str">
        <f>IF(A92=0,"",IF(VLOOKUP(A92,'[1]plan gier'!A:S,19,FALSE)="","",VLOOKUP(A92,'[1]plan gier'!A:S,19,FALSE)))</f>
        <v>godz.11:00</v>
      </c>
      <c r="M92" s="2" t="str">
        <f>N73</f>
        <v>Beginners</v>
      </c>
      <c r="N92" s="94"/>
      <c r="O92" s="95"/>
      <c r="P92" s="94"/>
      <c r="S92" s="99"/>
      <c r="T92" s="100"/>
      <c r="U92" s="2"/>
      <c r="V92" s="2"/>
      <c r="W92" s="101"/>
      <c r="X92" s="29"/>
      <c r="Y92" s="102">
        <v>25</v>
      </c>
      <c r="Z92" s="306" t="str">
        <f>IF(ISBLANK(Y92),IF(AND(LEN(W90)&gt;0,LEN(W94)=0),W90,IF(AND(LEN(W94)&gt;0,LEN(W90)=0),W94,"")),IF((VLOOKUP(Y92,'[1]plan gier'!$X:$AF,7,FALSE))="","",VLOOKUP(VLOOKUP(Y92,'[1]plan gier'!$X:$AF,7,FALSE),'[1]zawodnicy'!$A:$E,3,FALSE)))</f>
        <v>BUKOWIŃSKA</v>
      </c>
      <c r="AA92" s="306"/>
      <c r="AB92" s="306"/>
      <c r="AC92" s="29"/>
      <c r="AD92" s="29"/>
      <c r="AE92" s="106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0:63" ht="11.25" customHeight="1">
      <c r="J93" s="93"/>
      <c r="N93" s="94"/>
      <c r="O93" s="95"/>
      <c r="P93" s="94"/>
      <c r="S93" s="99"/>
      <c r="T93" s="100"/>
      <c r="U93" s="2"/>
      <c r="V93" s="2"/>
      <c r="W93" s="101"/>
      <c r="X93" s="29"/>
      <c r="Y93" s="103"/>
      <c r="Z93" s="300" t="str">
        <f>IF(ISBLANK(Y92),"",IF((VLOOKUP(Y92,'[1]plan gier'!$X:$AF,7,FALSE))="",L92,VLOOKUP(Y92,'[1]plan gier'!$X:$AF,9,FALSE)))</f>
        <v>21:5,21:1</v>
      </c>
      <c r="AA93" s="300"/>
      <c r="AB93" s="301"/>
      <c r="AC93" s="29"/>
      <c r="AD93" s="29"/>
      <c r="AE93" s="106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:63" ht="11.25" customHeight="1">
      <c r="A94" s="92">
        <f>V94</f>
        <v>0</v>
      </c>
      <c r="B94" s="2" t="str">
        <f>IF(TYPE(S94)=16,"",S94)</f>
        <v>B0020</v>
      </c>
      <c r="F94" s="2" t="str">
        <f>IF(A94=0,IF(AND(LEN(B94)&gt;0,LEN(D94)=0),VLOOKUP(B94,'[1]zawodnicy'!$A:$E,1,FALSE),IF(AND(LEN(D94)&gt;0,LEN(B94)=0),VLOOKUP(D94,'[1]zawodnicy'!$A:$E,1,FALSE),"")),IF((VLOOKUP(A94,'[1]plan gier'!$X:$AF,7,FALSE))="","",VLOOKUP(VLOOKUP(A94,'[1]plan gier'!$X:$AF,7,FALSE),'[1]zawodnicy'!$A:$E,1,FALSE)))</f>
        <v>B0020</v>
      </c>
      <c r="H94" s="2">
        <f>IF(A94=0,"",IF((VLOOKUP(A94,'[1]plan gier'!$X:$AF,7,FALSE))="","",VLOOKUP(A94,'[1]plan gier'!$X:$AF,9,FALSE)))</f>
      </c>
      <c r="J94" s="93"/>
      <c r="L94" s="40">
        <f>IF(A94=0,"",IF(VLOOKUP(A94,'[1]plan gier'!A:S,19,FALSE)="","",VLOOKUP(A94,'[1]plan gier'!A:S,19,FALSE)))</f>
      </c>
      <c r="M94" s="2" t="str">
        <f>N73</f>
        <v>Beginners</v>
      </c>
      <c r="N94" s="94"/>
      <c r="O94" s="95"/>
      <c r="P94" s="94"/>
      <c r="Q94" s="289" t="s">
        <v>44</v>
      </c>
      <c r="R94" s="290"/>
      <c r="S94" s="291" t="str">
        <f>UPPER(IF(N73="","",IF(TYPE(VLOOKUP(1&amp;5&amp;N73,I:J,2,FALSE))=2,VLOOKUP(1&amp;5&amp;N73,I:J,2,FALSE),"")))</f>
        <v>B0020</v>
      </c>
      <c r="T94" s="292"/>
      <c r="U94" s="292" t="str">
        <f>IF(S94&lt;&gt;"",CONCATENATE(VLOOKUP(S94,'[1]zawodnicy'!$A:$E,2,FALSE)," ",VLOOKUP(S94,'[1]zawodnicy'!$A:$E,3,FALSE)," - ",VLOOKUP(S94,'[1]zawodnicy'!$A:$E,4,FALSE)),"")</f>
        <v>Klaudia BUKOWIŃSKA - Dubiecko</v>
      </c>
      <c r="V94" s="295"/>
      <c r="W94" s="297" t="str">
        <f>IF(ISBLANK(V94),IF(AND(LEN(S94)&gt;0,LEN(S95)=0),VLOOKUP(S94,'[1]zawodnicy'!$A:$E,3,FALSE),IF(AND(LEN(S95)&gt;0,LEN(S94)=0),VLOOKUP(S95,'[1]zawodnicy'!$A:$E,3,FALSE),"")),IF((VLOOKUP(V94,'[1]plan gier'!$X:$AF,7,FALSE))="","",VLOOKUP(VLOOKUP(V94,'[1]plan gier'!$X:$AF,7,FALSE),'[1]zawodnicy'!$A:$E,3,FALSE)))</f>
        <v>BUKOWIŃSKA</v>
      </c>
      <c r="X94" s="298"/>
      <c r="Y94" s="304"/>
      <c r="Z94" s="29"/>
      <c r="AA94" s="29"/>
      <c r="AB94" s="106"/>
      <c r="AC94" s="29"/>
      <c r="AD94" s="29"/>
      <c r="AE94" s="106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0:63" ht="11.25" customHeight="1">
      <c r="J95" s="93"/>
      <c r="N95" s="94"/>
      <c r="O95" s="95"/>
      <c r="P95" s="94"/>
      <c r="Q95" s="289"/>
      <c r="R95" s="290"/>
      <c r="S95" s="293"/>
      <c r="T95" s="294"/>
      <c r="U95" s="294"/>
      <c r="V95" s="296"/>
      <c r="W95" s="305"/>
      <c r="X95" s="306"/>
      <c r="Y95" s="306"/>
      <c r="Z95" s="29"/>
      <c r="AA95" s="29"/>
      <c r="AB95" s="106"/>
      <c r="AC95" s="29"/>
      <c r="AD95" s="29"/>
      <c r="AE95" s="106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:63" ht="11.25" customHeight="1">
      <c r="A96" s="109">
        <f>AB96</f>
        <v>28</v>
      </c>
      <c r="B96" s="2" t="str">
        <f>F92</f>
        <v>B0020</v>
      </c>
      <c r="D96" s="2" t="str">
        <f>F100</f>
        <v>D0008</v>
      </c>
      <c r="F96" s="2" t="str">
        <f>IF(A96=0,IF(AND(LEN(B96)&gt;0,LEN(D96)=0),B96,IF(AND(LEN(D96)&gt;0,LEN(B96)=0),D96,"")),IF((VLOOKUP(A96,'[1]plan gier'!$X:$AF,7,FALSE))="","",VLOOKUP(VLOOKUP(A96,'[1]plan gier'!$X:$AF,7,FALSE),'[1]zawodnicy'!$A:$E,1,FALSE)))</f>
        <v>B0020</v>
      </c>
      <c r="H96" s="2" t="str">
        <f>IF(A96=0,"",IF((VLOOKUP(A96,'[1]plan gier'!$X:$AF,7,FALSE))="","",VLOOKUP(A96,'[1]plan gier'!$X:$AF,9,FALSE)))</f>
        <v>21:13,21:8</v>
      </c>
      <c r="J96" s="93"/>
      <c r="L96" s="40" t="str">
        <f>IF(A96=0,"",IF(VLOOKUP(A96,'[1]plan gier'!A:S,19,FALSE)="","",VLOOKUP(A96,'[1]plan gier'!A:S,19,FALSE)))</f>
        <v>godz.11:00</v>
      </c>
      <c r="M96" s="2" t="str">
        <f>N73</f>
        <v>Beginners</v>
      </c>
      <c r="N96" s="94"/>
      <c r="O96" s="95"/>
      <c r="P96" s="94"/>
      <c r="S96" s="99"/>
      <c r="T96" s="100"/>
      <c r="U96" s="101"/>
      <c r="V96" s="2"/>
      <c r="W96" s="29"/>
      <c r="X96" s="2"/>
      <c r="Y96" s="2"/>
      <c r="Z96" s="29"/>
      <c r="AA96" s="29"/>
      <c r="AB96" s="102">
        <v>28</v>
      </c>
      <c r="AC96" s="298" t="str">
        <f>IF(ISBLANK(AB96),IF(AND(LEN(Z92)&gt;0,LEN(Z100)=0),Z92,IF(AND(LEN(Z100)&gt;0,LEN(Z92)=0),Z100,"")),IF((VLOOKUP(AB96,'[1]plan gier'!$X:$AF,7,FALSE))="","",VLOOKUP(VLOOKUP(AB96,'[1]plan gier'!$X:$AF,7,FALSE),'[1]zawodnicy'!$A:$E,3,FALSE)))</f>
        <v>BUKOWIŃSKA</v>
      </c>
      <c r="AD96" s="298"/>
      <c r="AE96" s="304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0:63" ht="11.25" customHeight="1">
      <c r="J97" s="93"/>
      <c r="N97" s="94"/>
      <c r="O97" s="95"/>
      <c r="P97" s="94"/>
      <c r="S97" s="99"/>
      <c r="T97" s="100"/>
      <c r="U97" s="101"/>
      <c r="V97" s="2"/>
      <c r="W97" s="29"/>
      <c r="X97" s="2"/>
      <c r="Y97" s="2"/>
      <c r="Z97" s="29"/>
      <c r="AA97" s="29"/>
      <c r="AB97" s="103"/>
      <c r="AC97" s="300" t="str">
        <f>IF(ISBLANK(AB96),"",IF((VLOOKUP(AB96,'[1]plan gier'!$X:$AF,7,FALSE))="",L96,VLOOKUP(AB96,'[1]plan gier'!$X:$AF,9,FALSE)))</f>
        <v>21:13,21:8</v>
      </c>
      <c r="AD97" s="300"/>
      <c r="AE97" s="300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:63" ht="11.25" customHeight="1">
      <c r="A98" s="92">
        <f>V98</f>
        <v>22</v>
      </c>
      <c r="B98" s="2" t="str">
        <f>IF(TYPE(S98)=16,"",S98)</f>
        <v>P0021</v>
      </c>
      <c r="D98" s="2" t="str">
        <f>IF(TYPE(S99)=16,"",S99)</f>
        <v>O0006</v>
      </c>
      <c r="F98" s="2" t="str">
        <f>IF(A98=0,IF(AND(LEN(B98)&gt;0,LEN(D98)=0),VLOOKUP(B98,'[1]zawodnicy'!$A:$E,1,FALSE),IF(AND(LEN(D98)&gt;0,LEN(B98)=0),VLOOKUP(D98,'[1]zawodnicy'!$A:$E,1,FALSE),"")),IF((VLOOKUP(A98,'[1]plan gier'!$X:$AF,7,FALSE))="","",VLOOKUP(VLOOKUP(A98,'[1]plan gier'!$X:$AF,7,FALSE),'[1]zawodnicy'!$A:$E,1,FALSE)))</f>
        <v>O0006</v>
      </c>
      <c r="H98" s="2" t="str">
        <f>IF(A98=0,"",IF((VLOOKUP(A98,'[1]plan gier'!$X:$AF,7,FALSE))="","",VLOOKUP(A98,'[1]plan gier'!$X:$AF,9,FALSE)))</f>
        <v>21:6,21:3</v>
      </c>
      <c r="J98" s="93"/>
      <c r="L98" s="40" t="str">
        <f>IF(A98=0,"",IF(VLOOKUP(A98,'[1]plan gier'!A:S,19,FALSE)="","",VLOOKUP(A98,'[1]plan gier'!A:S,19,FALSE)))</f>
        <v>godz.10:40</v>
      </c>
      <c r="M98" s="2" t="str">
        <f>N73</f>
        <v>Beginners</v>
      </c>
      <c r="N98" s="94"/>
      <c r="O98" s="95"/>
      <c r="P98" s="94"/>
      <c r="Q98" s="87" t="s">
        <v>45</v>
      </c>
      <c r="S98" s="302" t="str">
        <f>UPPER(IF(N73="","",IF(TYPE(VLOOKUP(2&amp;1&amp;N73,I:J,2,FALSE))=2,VLOOKUP(2&amp;1&amp;N73,I:J,2,FALSE),"")))</f>
        <v>P0021</v>
      </c>
      <c r="T98" s="303"/>
      <c r="U98" s="104" t="str">
        <f>IF(S98&lt;&gt;"",CONCATENATE(VLOOKUP(S98,'[1]zawodnicy'!$A:$E,2,FALSE)," ",VLOOKUP(S98,'[1]zawodnicy'!$A:$E,3,FALSE)," - ",VLOOKUP(S98,'[1]zawodnicy'!$A:$E,4,FALSE)),"")</f>
        <v>Mikołaj POLAŃSKI - Rzeszów</v>
      </c>
      <c r="V98" s="105">
        <v>22</v>
      </c>
      <c r="W98" s="297" t="str">
        <f>IF(ISBLANK(V98),IF(AND(LEN(S98)&gt;0,LEN(S99)=0),VLOOKUP(S98,'[1]zawodnicy'!$A:$E,3,FALSE),IF(AND(LEN(S99)&gt;0,LEN(S98)=0),VLOOKUP(S99,'[1]zawodnicy'!$A:$E,3,FALSE),"")),IF((VLOOKUP(V98,'[1]plan gier'!$X:$AF,7,FALSE))="","",VLOOKUP(VLOOKUP(V98,'[1]plan gier'!$X:$AF,7,FALSE),'[1]zawodnicy'!$A:$E,3,FALSE)))</f>
        <v>ORZECHOWICZ</v>
      </c>
      <c r="X98" s="298"/>
      <c r="Y98" s="298"/>
      <c r="Z98" s="29"/>
      <c r="AA98" s="29"/>
      <c r="AB98" s="106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0:63" ht="11.25" customHeight="1">
      <c r="J99" s="93"/>
      <c r="N99" s="94"/>
      <c r="O99" s="95"/>
      <c r="P99" s="94"/>
      <c r="Q99" s="87" t="s">
        <v>46</v>
      </c>
      <c r="S99" s="302" t="str">
        <f>UPPER(IF(N73="","",IF(TYPE(VLOOKUP(1&amp;4&amp;N73,I:J,2,FALSE))=2,VLOOKUP(1&amp;4&amp;N73,I:J,2,FALSE),"")))</f>
        <v>O0006</v>
      </c>
      <c r="T99" s="303"/>
      <c r="U99" s="104" t="str">
        <f>IF(S99&lt;&gt;"",CONCATENATE(VLOOKUP(S99,'[1]zawodnicy'!$A:$E,2,FALSE)," ",VLOOKUP(S99,'[1]zawodnicy'!$A:$E,3,FALSE)," - ",VLOOKUP(S99,'[1]zawodnicy'!$A:$E,4,FALSE)),"")</f>
        <v>Jessica ORZECHOWICZ - Tarnowiec</v>
      </c>
      <c r="V99" s="107"/>
      <c r="W99" s="299" t="str">
        <f>IF(ISBLANK(V98),"",IF((VLOOKUP(V98,'[1]plan gier'!$X:$AF,7,FALSE))="",L98,VLOOKUP(V98,'[1]plan gier'!$X:$AF,9,FALSE)))</f>
        <v>21:6,21:3</v>
      </c>
      <c r="X99" s="300"/>
      <c r="Y99" s="301"/>
      <c r="Z99" s="29"/>
      <c r="AA99" s="29"/>
      <c r="AB99" s="106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:63" ht="11.25" customHeight="1">
      <c r="A100" s="98">
        <f>Y100</f>
        <v>26</v>
      </c>
      <c r="B100" s="2" t="str">
        <f>F98</f>
        <v>O0006</v>
      </c>
      <c r="D100" s="2" t="str">
        <f>F102</f>
        <v>D0008</v>
      </c>
      <c r="F100" s="2" t="str">
        <f>IF(A100=0,IF(AND(LEN(B100)&gt;0,LEN(D100)=0),B100,IF(AND(LEN(D100)&gt;0,LEN(B100)=0),D100,"")),IF((VLOOKUP(A100,'[1]plan gier'!$X:$AF,7,FALSE))="","",VLOOKUP(VLOOKUP(A100,'[1]plan gier'!$X:$AF,7,FALSE),'[1]zawodnicy'!$A:$E,1,FALSE)))</f>
        <v>D0008</v>
      </c>
      <c r="H100" s="2" t="str">
        <f>IF(A100=0,"",IF((VLOOKUP(A100,'[1]plan gier'!$X:$AF,7,FALSE))="","",VLOOKUP(A100,'[1]plan gier'!$X:$AF,9,FALSE)))</f>
        <v>21:16,21:16</v>
      </c>
      <c r="J100" s="93"/>
      <c r="L100" s="40" t="str">
        <f>IF(A100=0,"",IF(VLOOKUP(A100,'[1]plan gier'!A:S,19,FALSE)="","",VLOOKUP(A100,'[1]plan gier'!A:S,19,FALSE)))</f>
        <v>godz.11:00</v>
      </c>
      <c r="M100" s="2" t="str">
        <f>N73</f>
        <v>Beginners</v>
      </c>
      <c r="N100" s="94"/>
      <c r="O100" s="95"/>
      <c r="P100" s="94"/>
      <c r="S100" s="99"/>
      <c r="T100" s="100"/>
      <c r="U100" s="2"/>
      <c r="V100" s="2"/>
      <c r="W100" s="101"/>
      <c r="X100" s="29"/>
      <c r="Y100" s="102">
        <v>26</v>
      </c>
      <c r="Z100" s="298" t="str">
        <f>IF(ISBLANK(Y100),IF(AND(LEN(W98)&gt;0,LEN(W102)=0),W98,IF(AND(LEN(W102)&gt;0,LEN(W98)=0),W102,"")),IF((VLOOKUP(Y100,'[1]plan gier'!$X:$AF,7,FALSE))="","",VLOOKUP(VLOOKUP(Y100,'[1]plan gier'!$X:$AF,7,FALSE),'[1]zawodnicy'!$A:$E,3,FALSE)))</f>
        <v>DOMAŃSKA</v>
      </c>
      <c r="AA100" s="298"/>
      <c r="AB100" s="304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0:63" ht="11.25" customHeight="1">
      <c r="J101" s="93"/>
      <c r="N101" s="94"/>
      <c r="O101" s="95"/>
      <c r="P101" s="94"/>
      <c r="S101" s="99"/>
      <c r="T101" s="100"/>
      <c r="U101" s="2"/>
      <c r="V101" s="2"/>
      <c r="W101" s="101"/>
      <c r="X101" s="29"/>
      <c r="Y101" s="103"/>
      <c r="Z101" s="306" t="str">
        <f>IF(ISBLANK(Y100),"",IF((VLOOKUP(Y100,'[1]plan gier'!$X:$AF,7,FALSE))="",L100,VLOOKUP(Y100,'[1]plan gier'!$X:$AF,9,FALSE)))</f>
        <v>21:16,21:16</v>
      </c>
      <c r="AA101" s="306"/>
      <c r="AB101" s="306"/>
      <c r="AC101" s="112"/>
      <c r="AD101" s="112"/>
      <c r="AE101" s="11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:63" ht="11.25" customHeight="1">
      <c r="A102" s="92">
        <f>V102</f>
        <v>0</v>
      </c>
      <c r="B102" s="2" t="str">
        <f>IF(TYPE(S102)=16,"",S102)</f>
        <v>D0008</v>
      </c>
      <c r="F102" s="2" t="str">
        <f>IF(A102=0,IF(AND(LEN(B102)&gt;0,LEN(D102)=0),VLOOKUP(B102,'[1]zawodnicy'!$A:$E,1,FALSE),IF(AND(LEN(D102)&gt;0,LEN(B102)=0),VLOOKUP(D102,'[1]zawodnicy'!$A:$E,1,FALSE),"")),IF((VLOOKUP(A102,'[1]plan gier'!$X:$AF,7,FALSE))="","",VLOOKUP(VLOOKUP(A102,'[1]plan gier'!$X:$AF,7,FALSE),'[1]zawodnicy'!$A:$E,1,FALSE)))</f>
        <v>D0008</v>
      </c>
      <c r="H102" s="2">
        <f>IF(A102=0,"",IF((VLOOKUP(A102,'[1]plan gier'!$X:$AF,7,FALSE))="","",VLOOKUP(A102,'[1]plan gier'!$X:$AF,9,FALSE)))</f>
      </c>
      <c r="J102" s="93"/>
      <c r="L102" s="40">
        <f>IF(A102=0,"",IF(VLOOKUP(A102,'[1]plan gier'!A:S,19,FALSE)="","",VLOOKUP(A102,'[1]plan gier'!A:S,19,FALSE)))</f>
      </c>
      <c r="M102" s="2" t="str">
        <f>N73</f>
        <v>Beginners</v>
      </c>
      <c r="N102" s="94"/>
      <c r="O102" s="95"/>
      <c r="P102" s="94"/>
      <c r="Q102" s="289" t="s">
        <v>47</v>
      </c>
      <c r="R102" s="290"/>
      <c r="S102" s="291" t="str">
        <f>UPPER(IF(N73="","",IF(TYPE(VLOOKUP(1&amp;6&amp;N73,I:J,2,FALSE))=2,VLOOKUP(1&amp;6&amp;N73,I:J,2,FALSE),"")))</f>
        <v>D0008</v>
      </c>
      <c r="T102" s="292"/>
      <c r="U102" s="292" t="str">
        <f>IF(S102&lt;&gt;"",CONCATENATE(VLOOKUP(S102,'[1]zawodnicy'!$A:$E,2,FALSE)," ",VLOOKUP(S102,'[1]zawodnicy'!$A:$E,3,FALSE)," - ",VLOOKUP(S102,'[1]zawodnicy'!$A:$E,4,FALSE)),"")</f>
        <v>Patrycja DOMAŃSKA - Rzeszów</v>
      </c>
      <c r="V102" s="295"/>
      <c r="W102" s="297" t="str">
        <f>IF(ISBLANK(V102),IF(AND(LEN(S102)&gt;0,LEN(S103)=0),VLOOKUP(S102,'[1]zawodnicy'!$A:$E,3,FALSE),IF(AND(LEN(S103)&gt;0,LEN(S102)=0),VLOOKUP(S103,'[1]zawodnicy'!$A:$E,3,FALSE),"")),IF((VLOOKUP(V102,'[1]plan gier'!$X:$AF,7,FALSE))="","",VLOOKUP(VLOOKUP(V102,'[1]plan gier'!$X:$AF,7,FALSE),'[1]zawodnicy'!$A:$E,3,FALSE)))</f>
        <v>DOMAŃSKA</v>
      </c>
      <c r="X102" s="298"/>
      <c r="Y102" s="304"/>
      <c r="Z102" s="2"/>
      <c r="AA102" s="11"/>
      <c r="AB102" s="11"/>
      <c r="AC102" s="11"/>
      <c r="AD102" s="11"/>
      <c r="AE102" s="11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0:63" ht="11.25" customHeight="1">
      <c r="J103" s="93"/>
      <c r="N103" s="94"/>
      <c r="O103" s="95"/>
      <c r="P103" s="94"/>
      <c r="Q103" s="289"/>
      <c r="R103" s="290"/>
      <c r="S103" s="293"/>
      <c r="T103" s="294"/>
      <c r="U103" s="294"/>
      <c r="V103" s="296"/>
      <c r="W103" s="305"/>
      <c r="X103" s="306"/>
      <c r="Y103" s="306"/>
      <c r="Z103" s="2"/>
      <c r="AA103" s="113"/>
      <c r="AB103" s="113"/>
      <c r="AC103" s="113"/>
      <c r="AD103" s="113"/>
      <c r="AE103" s="113"/>
      <c r="AF103" s="52"/>
      <c r="AG103" s="114"/>
      <c r="AH103" s="114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ht="11.25" customHeight="1"/>
    <row r="105" ht="12" customHeight="1">
      <c r="U105" s="11" t="s">
        <v>48</v>
      </c>
    </row>
    <row r="106" spans="10:63" ht="11.25" customHeight="1">
      <c r="J106" s="2"/>
      <c r="K106" s="2"/>
      <c r="L106" s="2"/>
      <c r="M106" s="115"/>
      <c r="N106" s="116" t="str">
        <f>M108</f>
        <v>Beginners</v>
      </c>
      <c r="O106" s="89"/>
      <c r="P106" s="89"/>
      <c r="Q106" s="1"/>
      <c r="R106" s="1"/>
      <c r="S106" s="306" t="s">
        <v>49</v>
      </c>
      <c r="T106" s="306"/>
      <c r="U106" s="306"/>
      <c r="V106" s="306"/>
      <c r="W106" s="306" t="s">
        <v>50</v>
      </c>
      <c r="X106" s="306"/>
      <c r="Y106" s="306"/>
      <c r="Z106" s="306"/>
      <c r="AA106" s="306"/>
      <c r="AB106" s="306"/>
      <c r="AC106" s="101"/>
      <c r="AD106" s="101"/>
      <c r="AE106" s="101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0:63" ht="11.25" customHeight="1">
      <c r="J107" s="2"/>
      <c r="K107" s="2"/>
      <c r="L107" s="2"/>
      <c r="N107" s="116" t="s">
        <v>51</v>
      </c>
      <c r="P107" s="89"/>
      <c r="Q107" s="1"/>
      <c r="R107" s="1"/>
      <c r="S107" s="1"/>
      <c r="T107" s="90"/>
      <c r="U107" s="91"/>
      <c r="V107" s="91"/>
      <c r="W107" s="91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:63" ht="11.25" customHeight="1">
      <c r="A108" s="92">
        <f>V108</f>
        <v>29</v>
      </c>
      <c r="B108" s="2" t="str">
        <f>IF(S108="","",S108)</f>
        <v>M0026</v>
      </c>
      <c r="D108" s="2" t="str">
        <f>IF(S109="","",S109)</f>
        <v>D0008</v>
      </c>
      <c r="F108" s="2" t="str">
        <f>IF(A108=0,IF(AND(LEN(B108)&gt;0,LEN(D108)=0),VLOOKUP(B108,'[1]zawodnicy'!$A:$E,1,FALSE),IF(AND(LEN(D108)&gt;0,LEN(B108)=0),VLOOKUP(D108,'[1]zawodnicy'!$A:$E,1,FALSE),"")),IF((VLOOKUP(A108,'[1]plan gier'!$X:$AF,7,FALSE))="","",VLOOKUP(VLOOKUP(A108,'[1]plan gier'!$X:$AF,7,FALSE),'[1]zawodnicy'!$A:$E,1,FALSE)))</f>
        <v>D0008</v>
      </c>
      <c r="H108" s="2" t="str">
        <f>IF(A108=0,"",IF((VLOOKUP(A108,'[1]plan gier'!$X:$AF,7,FALSE))="","",VLOOKUP(A108,'[1]plan gier'!$X:$AF,9,FALSE)))</f>
        <v>21:18,19:21,21:16</v>
      </c>
      <c r="J108" s="93"/>
      <c r="K108" s="93"/>
      <c r="L108" s="117" t="str">
        <f>IF(A108=0,"",IF(VLOOKUP(A108,'[1]plan gier'!A:S,19,FALSE)="","",VLOOKUP(A108,'[1]plan gier'!A:S,19,FALSE)))</f>
        <v>godz.11:20</v>
      </c>
      <c r="M108" s="2" t="str">
        <f>IF(N108="","",VLOOKUP(N108,A:M,13,FALSE))</f>
        <v>Beginners</v>
      </c>
      <c r="N108" s="118">
        <v>27</v>
      </c>
      <c r="O108" s="119"/>
      <c r="P108" s="94"/>
      <c r="S108" s="302" t="str">
        <f>IF(N108="","",IF(LEN(VLOOKUP(N108,A:M,6,FALSE))=0,"",IF(VLOOKUP(N108,A:M,6,FALSE)=VLOOKUP(N108,A:M,2,FALSE),VLOOKUP(N108,A:M,4,FALSE),VLOOKUP(N108,A:M,2,FALSE))))</f>
        <v>M0026</v>
      </c>
      <c r="T108" s="303"/>
      <c r="U108" s="104" t="str">
        <f>IF(S108&lt;&gt;"",CONCATENATE(VLOOKUP(S108,'[1]zawodnicy'!$A:$E,2,FALSE)," ",VLOOKUP(S108,'[1]zawodnicy'!$A:$E,3,FALSE)," - ",VLOOKUP(S108,'[1]zawodnicy'!$A:$E,4,FALSE)),"")</f>
        <v>Wojciech MACHAJ - Mielec</v>
      </c>
      <c r="V108" s="105">
        <v>29</v>
      </c>
      <c r="W108" s="297" t="str">
        <f>IF(F108="","",VLOOKUP(F108,'[1]zawodnicy'!$A:$D,3,FALSE))</f>
        <v>DOMAŃSKA</v>
      </c>
      <c r="X108" s="298"/>
      <c r="Y108" s="298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0:63" ht="11.25" customHeight="1">
      <c r="J109" s="93"/>
      <c r="K109" s="93"/>
      <c r="L109" s="93"/>
      <c r="N109" s="118">
        <v>28</v>
      </c>
      <c r="O109" s="119"/>
      <c r="P109" s="94"/>
      <c r="S109" s="302" t="str">
        <f>IF(N109="","",IF(LEN(VLOOKUP(N109,A:M,6,FALSE))=0,"",IF(VLOOKUP(N109,A:M,6,FALSE)=VLOOKUP(N109,A:M,2,FALSE),VLOOKUP(N109,A:M,4,FALSE),VLOOKUP(N109,A:M,2,FALSE))))</f>
        <v>D0008</v>
      </c>
      <c r="T109" s="303"/>
      <c r="U109" s="104" t="str">
        <f>IF(S109&lt;&gt;"",CONCATENATE(VLOOKUP(S109,'[1]zawodnicy'!$A:$E,2,FALSE)," ",VLOOKUP(S109,'[1]zawodnicy'!$A:$E,3,FALSE)," - ",VLOOKUP(S109,'[1]zawodnicy'!$A:$E,4,FALSE)),"")</f>
        <v>Patrycja DOMAŃSKA - Rzeszów</v>
      </c>
      <c r="V109" s="107"/>
      <c r="W109" s="299" t="str">
        <f>IF(H108="",L108,H108)</f>
        <v>21:18,19:21,21:16</v>
      </c>
      <c r="X109" s="300"/>
      <c r="Y109" s="300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ht="11.25" customHeight="1"/>
    <row r="111" ht="11.25" customHeight="1"/>
    <row r="112" spans="13:31" ht="11.25" customHeight="1">
      <c r="M112" s="9"/>
      <c r="N112" s="10" t="s">
        <v>52</v>
      </c>
      <c r="Q112" s="253" t="str">
        <f>"Gra "&amp;N112</f>
        <v>Gra Runners Up</v>
      </c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</row>
    <row r="113" ht="11.25" customHeight="1" thickBot="1"/>
    <row r="114" spans="14:45" ht="11.25" customHeight="1" thickBot="1">
      <c r="N114" s="120"/>
      <c r="O114" s="14">
        <v>1</v>
      </c>
      <c r="Q114" s="253" t="str">
        <f>"Grupa "&amp;O114&amp;"."</f>
        <v>Grupa 1.</v>
      </c>
      <c r="R114" s="253"/>
      <c r="S114" s="308"/>
      <c r="T114" s="15" t="s">
        <v>1</v>
      </c>
      <c r="U114" s="255" t="s">
        <v>2</v>
      </c>
      <c r="V114" s="309"/>
      <c r="W114" s="15">
        <v>1</v>
      </c>
      <c r="X114" s="121">
        <v>2</v>
      </c>
      <c r="Y114" s="17">
        <v>3</v>
      </c>
      <c r="Z114" s="16">
        <v>4</v>
      </c>
      <c r="AA114" s="122" t="s">
        <v>3</v>
      </c>
      <c r="AB114" s="123" t="s">
        <v>4</v>
      </c>
      <c r="AC114" s="20" t="s">
        <v>5</v>
      </c>
      <c r="AD114" s="124" t="s">
        <v>6</v>
      </c>
      <c r="AE114" s="22"/>
      <c r="AF114" s="22"/>
      <c r="AH114" s="270" t="s">
        <v>9</v>
      </c>
      <c r="AI114" s="270"/>
      <c r="AJ114" s="270"/>
      <c r="AK114" s="270"/>
      <c r="AL114" s="270"/>
      <c r="AM114" s="270"/>
      <c r="AN114" s="270" t="s">
        <v>10</v>
      </c>
      <c r="AO114" s="270"/>
      <c r="AP114" s="270"/>
      <c r="AQ114" s="270"/>
      <c r="AR114" s="270"/>
      <c r="AS114" s="270"/>
    </row>
    <row r="115" spans="14:32" ht="11.25" customHeight="1">
      <c r="N115" s="24" t="s">
        <v>52</v>
      </c>
      <c r="Q115" s="257" t="s">
        <v>7</v>
      </c>
      <c r="R115" s="257"/>
      <c r="S115" s="310" t="s">
        <v>8</v>
      </c>
      <c r="T115" s="260">
        <v>1</v>
      </c>
      <c r="U115" s="271">
        <f>IF(AND(N116&lt;&gt;"",N117&lt;&gt;""),CONCATENATE(VLOOKUP(N116,'[1]zawodnicy'!$A:$E,1,FALSE)," ",VLOOKUP(N116,'[1]zawodnicy'!$A:$E,2,FALSE)," ",VLOOKUP(N116,'[1]zawodnicy'!$A:$E,3,FALSE)," - ",VLOOKUP(N116,'[1]zawodnicy'!$A:$E,4,FALSE)),"")</f>
      </c>
      <c r="V115" s="311"/>
      <c r="W115" s="32"/>
      <c r="X115" s="33" t="str">
        <f>IF(SUM(AN123:AO123)=0,"",AN123&amp;":"&amp;AO123)</f>
        <v>21:11</v>
      </c>
      <c r="Y115" s="33" t="str">
        <f>IF(SUM(AN118:AO118)=0,"",AN118&amp;":"&amp;AO118)</f>
        <v>21:18</v>
      </c>
      <c r="Z115" s="125" t="str">
        <f>IF(SUM(AN120:AO120)=0,"",AN120&amp;":"&amp;AO120)</f>
        <v>21:10</v>
      </c>
      <c r="AA115" s="260" t="str">
        <f>IF(SUM(AX118:BC118)=0,"",BD118&amp;":"&amp;BE118)</f>
        <v>144:89</v>
      </c>
      <c r="AB115" s="265" t="str">
        <f>IF(SUM(AX118:BC118)=0,"",BF118&amp;":"&amp;BG118)</f>
        <v>6:1</v>
      </c>
      <c r="AC115" s="265" t="str">
        <f>IF(SUM(AX118:BC118)=0,"",BH118&amp;":"&amp;BI118)</f>
        <v>3:0</v>
      </c>
      <c r="AD115" s="268">
        <f>IF(SUM(BH118:BH121)&gt;0,BJ118,"")</f>
        <v>1</v>
      </c>
      <c r="AE115" s="22"/>
      <c r="AF115" s="22"/>
    </row>
    <row r="116" spans="8:32" ht="11.25" customHeight="1" thickBot="1">
      <c r="H116" s="29"/>
      <c r="I116" s="2" t="str">
        <f>"1"&amp;O114&amp;N115</f>
        <v>11Runners Up</v>
      </c>
      <c r="J116" s="29" t="str">
        <f>IF(AD115="","",IF(AD115=1,N116,IF(AD118=1,N119,IF(AD121=1,N122,IF(AD124=1,N125,"")))))</f>
        <v>N0002</v>
      </c>
      <c r="K116" s="29">
        <f>IF(AD115="","",IF(AD115=1,N117,IF(AD118=1,N120,IF(AD121=1,N123,IF(AD124=1,N126,"")))))</f>
        <v>0</v>
      </c>
      <c r="L116" s="29"/>
      <c r="N116" s="30" t="s">
        <v>53</v>
      </c>
      <c r="O116" s="31">
        <f>IF(O114&gt;0,(O114&amp;1)*1,"")</f>
        <v>11</v>
      </c>
      <c r="Q116" s="257"/>
      <c r="R116" s="257"/>
      <c r="S116" s="310"/>
      <c r="T116" s="260"/>
      <c r="U116" s="271" t="str">
        <f>IF(AND(N116&lt;&gt;"",N117=""),CONCATENATE(VLOOKUP(N116,'[1]zawodnicy'!$A:$E,1,FALSE)," ",VLOOKUP(N116,'[1]zawodnicy'!$A:$E,2,FALSE)," ",VLOOKUP(N116,'[1]zawodnicy'!$A:$E,3,FALSE)," - ",VLOOKUP(N116,'[1]zawodnicy'!$A:$E,4,FALSE)),"")</f>
        <v>N0002 Robert NOWAK - Mielec</v>
      </c>
      <c r="V116" s="311"/>
      <c r="W116" s="32"/>
      <c r="X116" s="33" t="str">
        <f>IF(SUM(AP123:AQ123)=0,"",AP123&amp;":"&amp;AQ123)</f>
        <v>21:8</v>
      </c>
      <c r="Y116" s="33" t="str">
        <f>IF(SUM(AP118:AQ118)=0,"",AP118&amp;":"&amp;AQ118)</f>
        <v>18:21</v>
      </c>
      <c r="Z116" s="125" t="str">
        <f>IF(SUM(AP120:AQ120)=0,"",AP120&amp;":"&amp;AQ120)</f>
        <v>21:11</v>
      </c>
      <c r="AA116" s="260"/>
      <c r="AB116" s="265"/>
      <c r="AC116" s="265"/>
      <c r="AD116" s="268"/>
      <c r="AE116" s="22"/>
      <c r="AF116" s="22"/>
    </row>
    <row r="117" spans="10:62" ht="11.25" customHeight="1" thickBot="1">
      <c r="J117" s="29"/>
      <c r="K117" s="23"/>
      <c r="L117" s="23"/>
      <c r="N117" s="35"/>
      <c r="O117" s="23"/>
      <c r="P117" s="23"/>
      <c r="Q117" s="257"/>
      <c r="R117" s="257"/>
      <c r="S117" s="310"/>
      <c r="T117" s="261"/>
      <c r="U117" s="273">
        <f>IF(N117&lt;&gt;"",CONCATENATE(VLOOKUP(N117,'[1]zawodnicy'!$A:$E,1,FALSE)," ",VLOOKUP(N117,'[1]zawodnicy'!$A:$E,2,FALSE)," ",VLOOKUP(N117,'[1]zawodnicy'!$A:$E,3,FALSE)," - ",VLOOKUP(N117,'[1]zawodnicy'!$A:$E,4,FALSE)),"")</f>
      </c>
      <c r="V117" s="312"/>
      <c r="W117" s="32"/>
      <c r="X117" s="36">
        <f>IF(SUM(AR123:AS123)=0,"",AR123&amp;":"&amp;AS123)</f>
      </c>
      <c r="Y117" s="36" t="str">
        <f>IF(SUM(AR118:AS118)=0,"",AR118&amp;":"&amp;AS118)</f>
        <v>21:10</v>
      </c>
      <c r="Z117" s="126">
        <f>IF(SUM(AR120:AS120)=0,"",AR120&amp;":"&amp;AS120)</f>
      </c>
      <c r="AA117" s="260"/>
      <c r="AB117" s="265"/>
      <c r="AC117" s="265"/>
      <c r="AD117" s="268"/>
      <c r="AE117" s="22"/>
      <c r="AF117" s="22"/>
      <c r="AH117" s="313" t="s">
        <v>12</v>
      </c>
      <c r="AI117" s="314"/>
      <c r="AJ117" s="314" t="s">
        <v>13</v>
      </c>
      <c r="AK117" s="314"/>
      <c r="AL117" s="314" t="s">
        <v>14</v>
      </c>
      <c r="AM117" s="314"/>
      <c r="AN117" s="313" t="s">
        <v>12</v>
      </c>
      <c r="AO117" s="314"/>
      <c r="AP117" s="314" t="s">
        <v>13</v>
      </c>
      <c r="AQ117" s="314"/>
      <c r="AR117" s="314" t="s">
        <v>14</v>
      </c>
      <c r="AS117" s="315"/>
      <c r="AV117" s="313">
        <v>1</v>
      </c>
      <c r="AW117" s="314"/>
      <c r="AX117" s="314">
        <v>2</v>
      </c>
      <c r="AY117" s="314"/>
      <c r="AZ117" s="314">
        <v>3</v>
      </c>
      <c r="BA117" s="314"/>
      <c r="BB117" s="314">
        <v>4</v>
      </c>
      <c r="BC117" s="315"/>
      <c r="BD117" s="313" t="s">
        <v>3</v>
      </c>
      <c r="BE117" s="315"/>
      <c r="BF117" s="313" t="s">
        <v>4</v>
      </c>
      <c r="BG117" s="315"/>
      <c r="BH117" s="313" t="s">
        <v>5</v>
      </c>
      <c r="BI117" s="277"/>
      <c r="BJ117" s="38" t="s">
        <v>6</v>
      </c>
    </row>
    <row r="118" spans="1:63" ht="11.25" customHeight="1">
      <c r="A118" s="12">
        <f aca="true" t="shared" si="6" ref="A118:A123">S118</f>
        <v>32</v>
      </c>
      <c r="B118" s="12" t="str">
        <f>IF(N116="","",N116)</f>
        <v>N0002</v>
      </c>
      <c r="C118" s="12">
        <f>IF(N117="","",N117)</f>
      </c>
      <c r="D118" s="12" t="str">
        <f>IF(N122="","",N122)</f>
        <v>B0021</v>
      </c>
      <c r="E118" s="12">
        <f>IF(N123="","",N123)</f>
      </c>
      <c r="H118" s="29"/>
      <c r="I118" s="2" t="str">
        <f>"2"&amp;O114&amp;N115</f>
        <v>21Runners Up</v>
      </c>
      <c r="J118" s="29" t="str">
        <f>IF(AD118="","",IF(AD115=2,N116,IF(AD118=2,N119,IF(AD121=2,N122,IF(AD124=2,N125,"")))))</f>
        <v>B0021</v>
      </c>
      <c r="K118" s="29">
        <f>IF(AD118="","",IF(AD115=2,N117,IF(AD118=2,N120,IF(AD121=2,N123,IF(AD124=2,N126,"")))))</f>
        <v>0</v>
      </c>
      <c r="L118" s="29"/>
      <c r="M118" s="39" t="str">
        <f>N115</f>
        <v>Runners Up</v>
      </c>
      <c r="O118" s="23"/>
      <c r="P118" s="23"/>
      <c r="Q118" s="40">
        <f>IF(AT118&gt;0,"",IF(A118=0,"",IF(VLOOKUP(A118,'[1]plan gier'!A:S,19,FALSE)="","",VLOOKUP(A118,'[1]plan gier'!A:S,19,FALSE))))</f>
      </c>
      <c r="R118" s="41" t="s">
        <v>15</v>
      </c>
      <c r="S118" s="127">
        <v>32</v>
      </c>
      <c r="T118" s="279">
        <v>2</v>
      </c>
      <c r="U118" s="280">
        <f>IF(AND(N119&lt;&gt;"",N120&lt;&gt;""),CONCATENATE(VLOOKUP(N119,'[1]zawodnicy'!$A:$E,1,FALSE)," ",VLOOKUP(N119,'[1]zawodnicy'!$A:$E,2,FALSE)," ",VLOOKUP(N119,'[1]zawodnicy'!$A:$E,3,FALSE)," - ",VLOOKUP(N119,'[1]zawodnicy'!$A:$E,4,FALSE)),"")</f>
      </c>
      <c r="V118" s="316"/>
      <c r="W118" s="43" t="str">
        <f>IF(SUM(AN123:AO123)=0,"",AO123&amp;":"&amp;AN123)</f>
        <v>11:21</v>
      </c>
      <c r="X118" s="128"/>
      <c r="Y118" s="80" t="str">
        <f>IF(SUM(AN121:AO121)=0,"",AN121&amp;":"&amp;AO121)</f>
        <v>10:21</v>
      </c>
      <c r="Z118" s="45" t="str">
        <f>IF(SUM(AN119:AO119)=0,"",AN119&amp;":"&amp;AO119)</f>
        <v>17:21</v>
      </c>
      <c r="AA118" s="279" t="str">
        <f>IF(SUM(AV119:AW119,AZ119:BC119)=0,"",BD119&amp;":"&amp;BE119)</f>
        <v>101:148</v>
      </c>
      <c r="AB118" s="282" t="str">
        <f>IF(SUM(AV119:AW119,AZ119:BC119)=0,"",BF119&amp;":"&amp;BG119)</f>
        <v>1:6</v>
      </c>
      <c r="AC118" s="282" t="str">
        <f>IF(SUM(AV119:AW119,AZ119:BC119)=0,"",BH119&amp;":"&amp;BI119)</f>
        <v>0:3</v>
      </c>
      <c r="AD118" s="283">
        <f>IF(SUM(BH118:BH121)&gt;0,BJ119,"")</f>
        <v>4</v>
      </c>
      <c r="AE118" s="22"/>
      <c r="AF118" s="22"/>
      <c r="AG118" s="41" t="s">
        <v>15</v>
      </c>
      <c r="AH118" s="129">
        <f>IF(ISBLANK(S118),"",VLOOKUP(S118,'[1]plan gier'!$X:$AN,12,FALSE))</f>
        <v>21</v>
      </c>
      <c r="AI118" s="49">
        <f>IF(ISBLANK(S118),"",VLOOKUP(S118,'[1]plan gier'!$X:$AN,13,FALSE))</f>
        <v>18</v>
      </c>
      <c r="AJ118" s="49">
        <f>IF(ISBLANK(S118),"",VLOOKUP(S118,'[1]plan gier'!$X:$AN,14,FALSE))</f>
        <v>18</v>
      </c>
      <c r="AK118" s="49">
        <f>IF(ISBLANK(S118),"",VLOOKUP(S118,'[1]plan gier'!$X:$AN,15,FALSE))</f>
        <v>21</v>
      </c>
      <c r="AL118" s="49">
        <f>IF(ISBLANK(S118),"",VLOOKUP(S118,'[1]plan gier'!$X:$AN,16,FALSE))</f>
        <v>21</v>
      </c>
      <c r="AM118" s="49">
        <f>IF(ISBLANK(S118),"",VLOOKUP(S118,'[1]plan gier'!$X:$AN,17,FALSE))</f>
        <v>10</v>
      </c>
      <c r="AN118" s="46">
        <f aca="true" t="shared" si="7" ref="AN118:AS123">IF(AH118="",0,AH118)</f>
        <v>21</v>
      </c>
      <c r="AO118" s="47">
        <f t="shared" si="7"/>
        <v>18</v>
      </c>
      <c r="AP118" s="47">
        <f t="shared" si="7"/>
        <v>18</v>
      </c>
      <c r="AQ118" s="47">
        <f t="shared" si="7"/>
        <v>21</v>
      </c>
      <c r="AR118" s="47">
        <f t="shared" si="7"/>
        <v>21</v>
      </c>
      <c r="AS118" s="55">
        <f t="shared" si="7"/>
        <v>10</v>
      </c>
      <c r="AT118" s="130">
        <f aca="true" t="shared" si="8" ref="AT118:AT123">SUM(AN118:AS118)</f>
        <v>109</v>
      </c>
      <c r="AU118" s="87">
        <v>1</v>
      </c>
      <c r="AV118" s="317"/>
      <c r="AW118" s="318"/>
      <c r="AX118" s="47">
        <f>IF(AH123&gt;AI123,1,0)+IF(AJ123&gt;AK123,1,0)+IF(AL123&gt;AM123,1,0)</f>
        <v>2</v>
      </c>
      <c r="AY118" s="47">
        <f>AV119</f>
        <v>0</v>
      </c>
      <c r="AZ118" s="47">
        <f>IF(AH118&gt;AI118,1,0)+IF(AJ118&gt;AK118,1,0)+IF(AL118&gt;AM118,1,0)</f>
        <v>2</v>
      </c>
      <c r="BA118" s="49">
        <f>AV120</f>
        <v>1</v>
      </c>
      <c r="BB118" s="131">
        <f>IF(AH120&gt;AI120,1,0)+IF(AJ120&gt;AK120,1,0)+IF(AL120&gt;AM120,1,0)</f>
        <v>2</v>
      </c>
      <c r="BC118" s="56">
        <f>AV121</f>
        <v>0</v>
      </c>
      <c r="BD118" s="129">
        <f>AN118+AP118+AR118+AN120+AP120+AR120+AN123+AP123+AR123</f>
        <v>144</v>
      </c>
      <c r="BE118" s="132">
        <f>AO118+AQ118+AS118+AO120+AQ120+AS120+AO123+AQ123+AS123</f>
        <v>89</v>
      </c>
      <c r="BF118" s="129">
        <f>AX118+AZ118+BB118</f>
        <v>6</v>
      </c>
      <c r="BG118" s="133">
        <f>AY118+BA118+BC118</f>
        <v>1</v>
      </c>
      <c r="BH118" s="129">
        <f>IF(AX118&gt;AY118,1,0)+IF(AZ118&gt;BA118,1,0)+IF(BB118&gt;BC118,1,0)</f>
        <v>3</v>
      </c>
      <c r="BI118" s="133">
        <f>IF(AY118&gt;AX118,1,0)+IF(BA118&gt;AZ118,1,0)+IF(BC118&gt;BB118,1,0)</f>
        <v>0</v>
      </c>
      <c r="BJ118" s="134">
        <f>IF(BH118+BI118=0,"",IF(BK118=MAX(BK118:BK121),1,IF(BK118=LARGE(BK118:BK121,2),2,IF(BK118=MIN(BK118:BK121),4,3))))</f>
        <v>1</v>
      </c>
      <c r="BK118" s="135">
        <f>IF(BH118+BI118&lt;&gt;0,BH118-BI118+(BF118-BG118)/100+(BD118-BE118)/10000,-3)</f>
        <v>3.0555</v>
      </c>
    </row>
    <row r="119" spans="1:63" ht="11.25" customHeight="1">
      <c r="A119" s="12">
        <f t="shared" si="6"/>
        <v>33</v>
      </c>
      <c r="B119" s="12" t="str">
        <f>IF(N119="","",N119)</f>
        <v>W0014</v>
      </c>
      <c r="C119" s="12">
        <f>IF(N120="","",N120)</f>
      </c>
      <c r="D119" s="12" t="str">
        <f>IF(N125="","",N125)</f>
        <v>G0015</v>
      </c>
      <c r="E119" s="12">
        <f>IF(N126="","",N126)</f>
      </c>
      <c r="J119" s="29"/>
      <c r="K119" s="12"/>
      <c r="L119" s="12"/>
      <c r="M119" s="39" t="str">
        <f>N115</f>
        <v>Runners Up</v>
      </c>
      <c r="N119" s="30" t="s">
        <v>54</v>
      </c>
      <c r="O119" s="31">
        <f>IF(O114&gt;0,(O114&amp;2)*1,"")</f>
        <v>12</v>
      </c>
      <c r="Q119" s="40">
        <f>IF(AT119&gt;0,"",IF(A119=0,"",IF(VLOOKUP(A119,'[1]plan gier'!A:S,19,FALSE)="","",VLOOKUP(A119,'[1]plan gier'!A:S,19,FALSE))))</f>
      </c>
      <c r="R119" s="41" t="s">
        <v>55</v>
      </c>
      <c r="S119" s="127">
        <v>33</v>
      </c>
      <c r="T119" s="260"/>
      <c r="U119" s="271" t="str">
        <f>IF(AND(N119&lt;&gt;"",N120=""),CONCATENATE(VLOOKUP(N119,'[1]zawodnicy'!$A:$E,1,FALSE)," ",VLOOKUP(N119,'[1]zawodnicy'!$A:$E,2,FALSE)," ",VLOOKUP(N119,'[1]zawodnicy'!$A:$E,3,FALSE)," - ",VLOOKUP(N119,'[1]zawodnicy'!$A:$E,4,FALSE)),"")</f>
        <v>W0014 Mariusz  WARNECKI - Rzeszów</v>
      </c>
      <c r="V119" s="311"/>
      <c r="W119" s="58" t="str">
        <f>IF(SUM(AP123:AQ123)=0,"",AQ123&amp;":"&amp;AP123)</f>
        <v>8:21</v>
      </c>
      <c r="X119" s="136"/>
      <c r="Y119" s="33" t="str">
        <f>IF(SUM(AP121:AQ121)=0,"",AP121&amp;":"&amp;AQ121)</f>
        <v>13:21</v>
      </c>
      <c r="Z119" s="34" t="str">
        <f>IF(SUM(AP119:AQ119)=0,"",AP119&amp;":"&amp;AQ119)</f>
        <v>24:22</v>
      </c>
      <c r="AA119" s="260"/>
      <c r="AB119" s="265"/>
      <c r="AC119" s="265"/>
      <c r="AD119" s="268"/>
      <c r="AE119" s="22"/>
      <c r="AF119" s="22"/>
      <c r="AG119" s="41" t="s">
        <v>55</v>
      </c>
      <c r="AH119" s="46">
        <f>IF(ISBLANK(S119),"",VLOOKUP(S119,'[1]plan gier'!$X:$AN,12,FALSE))</f>
        <v>17</v>
      </c>
      <c r="AI119" s="47">
        <f>IF(ISBLANK(S119),"",VLOOKUP(S119,'[1]plan gier'!$X:$AN,13,FALSE))</f>
        <v>21</v>
      </c>
      <c r="AJ119" s="47">
        <f>IF(ISBLANK(S119),"",VLOOKUP(S119,'[1]plan gier'!$X:$AN,14,FALSE))</f>
        <v>24</v>
      </c>
      <c r="AK119" s="47">
        <f>IF(ISBLANK(S119),"",VLOOKUP(S119,'[1]plan gier'!$X:$AN,15,FALSE))</f>
        <v>22</v>
      </c>
      <c r="AL119" s="47">
        <f>IF(ISBLANK(S119),"",VLOOKUP(S119,'[1]plan gier'!$X:$AN,16,FALSE))</f>
        <v>18</v>
      </c>
      <c r="AM119" s="47">
        <f>IF(ISBLANK(S119),"",VLOOKUP(S119,'[1]plan gier'!$X:$AN,17,FALSE))</f>
        <v>21</v>
      </c>
      <c r="AN119" s="60">
        <f t="shared" si="7"/>
        <v>17</v>
      </c>
      <c r="AO119" s="61">
        <f t="shared" si="7"/>
        <v>21</v>
      </c>
      <c r="AP119" s="61">
        <f t="shared" si="7"/>
        <v>24</v>
      </c>
      <c r="AQ119" s="61">
        <f t="shared" si="7"/>
        <v>22</v>
      </c>
      <c r="AR119" s="61">
        <f t="shared" si="7"/>
        <v>18</v>
      </c>
      <c r="AS119" s="66">
        <f t="shared" si="7"/>
        <v>21</v>
      </c>
      <c r="AT119" s="130">
        <f t="shared" si="8"/>
        <v>123</v>
      </c>
      <c r="AU119" s="87">
        <v>2</v>
      </c>
      <c r="AV119" s="60">
        <f>IF(AH123&lt;AI123,1,0)+IF(AJ123&lt;AK123,1,0)+IF(AL123&lt;AM123,1,0)</f>
        <v>0</v>
      </c>
      <c r="AW119" s="61">
        <f>AX118</f>
        <v>2</v>
      </c>
      <c r="AX119" s="137"/>
      <c r="AY119" s="138"/>
      <c r="AZ119" s="61">
        <f>IF(AH121&gt;AI121,1,0)+IF(AJ121&gt;AK121,1,0)+IF(AL121&gt;AM121,1,0)</f>
        <v>0</v>
      </c>
      <c r="BA119" s="61">
        <f>AX120</f>
        <v>2</v>
      </c>
      <c r="BB119" s="139">
        <f>IF(AH119&gt;AI119,1,0)+IF(AJ119&gt;AK119,1,0)+IF(AL119&gt;AM119,1,0)</f>
        <v>1</v>
      </c>
      <c r="BC119" s="67">
        <f>AX121</f>
        <v>2</v>
      </c>
      <c r="BD119" s="60">
        <f>AN119+AP119+AR119+AN121+AP121+AR121+AO123+AQ123+AS123</f>
        <v>101</v>
      </c>
      <c r="BE119" s="67">
        <f>AO119+AQ119+AS119+AO121+AQ121+AS121+AN123+AP123+AR123</f>
        <v>148</v>
      </c>
      <c r="BF119" s="60">
        <f>AV119+AZ119+BB119</f>
        <v>1</v>
      </c>
      <c r="BG119" s="66">
        <f>AW119+BA119+BC119</f>
        <v>6</v>
      </c>
      <c r="BH119" s="60">
        <f>IF(AV119&gt;AW119,1,0)+IF(AZ119&gt;BA119,1,0)+IF(BB119&gt;BC119,1,0)</f>
        <v>0</v>
      </c>
      <c r="BI119" s="66">
        <f>IF(AW119&gt;AV119,1,0)+IF(BA119&gt;AZ119,1,0)+IF(BC119&gt;BB119,1,0)</f>
        <v>3</v>
      </c>
      <c r="BJ119" s="68">
        <f>IF(BH119+BI119=0,"",IF(BK119=MAX(BK118:BK121),1,IF(BK119=LARGE(BK118:BK121,2),2,IF(BK119=MIN(BK118:BK121),4,3))))</f>
        <v>4</v>
      </c>
      <c r="BK119" s="135">
        <f>IF(BH119+BI119&lt;&gt;0,BH119-BI119+(BF119-BG119)/100+(BD119-BE119)/10000,-3)</f>
        <v>-3.0547</v>
      </c>
    </row>
    <row r="120" spans="1:63" ht="11.25" customHeight="1">
      <c r="A120" s="12">
        <f t="shared" si="6"/>
        <v>37</v>
      </c>
      <c r="B120" s="12" t="str">
        <f>IF(N116="","",N116)</f>
        <v>N0002</v>
      </c>
      <c r="C120" s="12">
        <f>IF(N117="","",N117)</f>
      </c>
      <c r="D120" s="12" t="str">
        <f>IF(N125="","",N125)</f>
        <v>G0015</v>
      </c>
      <c r="E120" s="12">
        <f>IF(N126="","",N126)</f>
      </c>
      <c r="H120" s="29"/>
      <c r="I120" s="2" t="str">
        <f>"3"&amp;O114&amp;N115</f>
        <v>31Runners Up</v>
      </c>
      <c r="J120" s="29" t="str">
        <f>IF(AD121="","",IF(AD115=3,N116,IF(AD118=3,N119,IF(AD121=3,N122,IF(AD124=3,N125,"")))))</f>
        <v>G0015</v>
      </c>
      <c r="K120" s="29">
        <f>IF(AD121="","",IF(AD115=3,N117,IF(AD118=3,N120,IF(AD121=3,N123,IF(AD124=3,N126,"")))))</f>
        <v>0</v>
      </c>
      <c r="L120" s="29"/>
      <c r="M120" s="39" t="str">
        <f>N115</f>
        <v>Runners Up</v>
      </c>
      <c r="N120" s="35"/>
      <c r="O120" s="23"/>
      <c r="P120" s="23"/>
      <c r="Q120" s="40">
        <f>IF(AT120&gt;0,"",IF(A120=0,"",IF(VLOOKUP(A120,'[1]plan gier'!A:S,19,FALSE)="","",VLOOKUP(A120,'[1]plan gier'!A:S,19,FALSE))))</f>
      </c>
      <c r="R120" s="41" t="s">
        <v>56</v>
      </c>
      <c r="S120" s="127">
        <v>37</v>
      </c>
      <c r="T120" s="261"/>
      <c r="U120" s="273">
        <f>IF(N120&lt;&gt;"",CONCATENATE(VLOOKUP(N120,'[1]zawodnicy'!$A:$E,1,FALSE)," ",VLOOKUP(N120,'[1]zawodnicy'!$A:$E,2,FALSE)," ",VLOOKUP(N120,'[1]zawodnicy'!$A:$E,3,FALSE)," - ",VLOOKUP(N120,'[1]zawodnicy'!$A:$E,4,FALSE)),"")</f>
      </c>
      <c r="V120" s="312"/>
      <c r="W120" s="70">
        <f>IF(SUM(AR123:AS123)=0,"",AS123&amp;":"&amp;AR123)</f>
      </c>
      <c r="X120" s="136"/>
      <c r="Y120" s="36">
        <f>IF(SUM(AR121:AS121)=0,"",AR121&amp;":"&amp;AS121)</f>
      </c>
      <c r="Z120" s="37" t="str">
        <f>IF(SUM(AR119:AS119)=0,"",AR119&amp;":"&amp;AS119)</f>
        <v>18:21</v>
      </c>
      <c r="AA120" s="260"/>
      <c r="AB120" s="265"/>
      <c r="AC120" s="265"/>
      <c r="AD120" s="268"/>
      <c r="AE120" s="22"/>
      <c r="AF120" s="22"/>
      <c r="AG120" s="41" t="s">
        <v>56</v>
      </c>
      <c r="AH120" s="46">
        <f>IF(ISBLANK(S120),"",VLOOKUP(S120,'[1]plan gier'!$X:$AN,12,FALSE))</f>
        <v>21</v>
      </c>
      <c r="AI120" s="47">
        <f>IF(ISBLANK(S120),"",VLOOKUP(S120,'[1]plan gier'!$X:$AN,13,FALSE))</f>
        <v>10</v>
      </c>
      <c r="AJ120" s="47">
        <f>IF(ISBLANK(S120),"",VLOOKUP(S120,'[1]plan gier'!$X:$AN,14,FALSE))</f>
        <v>21</v>
      </c>
      <c r="AK120" s="47">
        <f>IF(ISBLANK(S120),"",VLOOKUP(S120,'[1]plan gier'!$X:$AN,15,FALSE))</f>
        <v>11</v>
      </c>
      <c r="AL120" s="47">
        <f>IF(ISBLANK(S120),"",VLOOKUP(S120,'[1]plan gier'!$X:$AN,16,FALSE))</f>
        <v>0</v>
      </c>
      <c r="AM120" s="47">
        <f>IF(ISBLANK(S120),"",VLOOKUP(S120,'[1]plan gier'!$X:$AN,17,FALSE))</f>
        <v>0</v>
      </c>
      <c r="AN120" s="60">
        <f t="shared" si="7"/>
        <v>21</v>
      </c>
      <c r="AO120" s="61">
        <f t="shared" si="7"/>
        <v>10</v>
      </c>
      <c r="AP120" s="61">
        <f t="shared" si="7"/>
        <v>21</v>
      </c>
      <c r="AQ120" s="61">
        <f t="shared" si="7"/>
        <v>11</v>
      </c>
      <c r="AR120" s="61">
        <f t="shared" si="7"/>
        <v>0</v>
      </c>
      <c r="AS120" s="66">
        <f t="shared" si="7"/>
        <v>0</v>
      </c>
      <c r="AT120" s="130">
        <f t="shared" si="8"/>
        <v>63</v>
      </c>
      <c r="AU120" s="87">
        <v>3</v>
      </c>
      <c r="AV120" s="60">
        <f>IF(AH118&lt;AI118,1,0)+IF(AJ118&lt;AK118,1,0)+IF(AL118&lt;AM118,1,0)</f>
        <v>1</v>
      </c>
      <c r="AW120" s="61">
        <f>AZ118</f>
        <v>2</v>
      </c>
      <c r="AX120" s="61">
        <f>IF(AH121&lt;AI121,1,0)+IF(AJ121&lt;AK121,1,0)+IF(AL121&lt;AM121,1,0)</f>
        <v>2</v>
      </c>
      <c r="AY120" s="61">
        <f>AZ119</f>
        <v>0</v>
      </c>
      <c r="AZ120" s="137"/>
      <c r="BA120" s="138"/>
      <c r="BB120" s="61">
        <f>IF(AH122&gt;AI122,1,0)+IF(AJ122&gt;AK122,1,0)+IF(AL122&gt;AM122,1,0)</f>
        <v>2</v>
      </c>
      <c r="BC120" s="67">
        <f>AZ121</f>
        <v>0</v>
      </c>
      <c r="BD120" s="140">
        <f>AO118+AQ118+AS118+AO121+AQ121+AS121+AN122+AP122+AR122</f>
        <v>133</v>
      </c>
      <c r="BE120" s="141">
        <f>AN118+AP118+AR118+AN121+AP121+AR121+AO122+AQ122+AS122</f>
        <v>110</v>
      </c>
      <c r="BF120" s="140">
        <f>AV120+AX120+BB120</f>
        <v>5</v>
      </c>
      <c r="BG120" s="142">
        <f>AW120+AY120+BC120</f>
        <v>2</v>
      </c>
      <c r="BH120" s="60">
        <f>IF(AV120&gt;AW120,1,0)+IF(AX120&gt;AY120,1,0)+IF(BB120&gt;BC120,1,0)</f>
        <v>2</v>
      </c>
      <c r="BI120" s="66">
        <f>IF(AW120&gt;AV120,1,0)+IF(AY120&gt;AX120,1,0)+IF(BC120&gt;BB120,1,0)</f>
        <v>1</v>
      </c>
      <c r="BJ120" s="68">
        <f>IF(BH120+BI120=0,"",IF(BK120=MAX(BK118:BK121),1,IF(BK120=LARGE(BK118:BK121,2),2,IF(BK120=MIN(BK118:BK121),4,3))))</f>
        <v>2</v>
      </c>
      <c r="BK120" s="135">
        <f>IF(BH120+BI120&lt;&gt;0,BH120-BI120+(BF120-BG120)/100+(BD120-BE120)/10000,-3)</f>
        <v>1.0323</v>
      </c>
    </row>
    <row r="121" spans="1:63" ht="11.25" customHeight="1" thickBot="1">
      <c r="A121" s="12">
        <f t="shared" si="6"/>
        <v>38</v>
      </c>
      <c r="B121" s="12" t="str">
        <f>IF(N119="","",N119)</f>
        <v>W0014</v>
      </c>
      <c r="C121" s="12">
        <f>IF(N120="","",N120)</f>
      </c>
      <c r="D121" s="12" t="str">
        <f>IF(N122="","",N122)</f>
        <v>B0021</v>
      </c>
      <c r="E121" s="12">
        <f>IF(N123="","",N123)</f>
      </c>
      <c r="J121" s="29"/>
      <c r="K121" s="23"/>
      <c r="L121" s="23"/>
      <c r="M121" s="39" t="str">
        <f>N115</f>
        <v>Runners Up</v>
      </c>
      <c r="O121" s="23"/>
      <c r="P121" s="23"/>
      <c r="Q121" s="40">
        <f>IF(AT121&gt;0,"",IF(A121=0,"",IF(VLOOKUP(A121,'[1]plan gier'!A:S,19,FALSE)="","",VLOOKUP(A121,'[1]plan gier'!A:S,19,FALSE))))</f>
      </c>
      <c r="R121" s="41" t="s">
        <v>17</v>
      </c>
      <c r="S121" s="127">
        <v>38</v>
      </c>
      <c r="T121" s="279">
        <v>3</v>
      </c>
      <c r="U121" s="280">
        <f>IF(AND(N122&lt;&gt;"",N123&lt;&gt;""),CONCATENATE(VLOOKUP(N122,'[1]zawodnicy'!$A:$E,1,FALSE)," ",VLOOKUP(N122,'[1]zawodnicy'!$A:$E,2,FALSE)," ",VLOOKUP(N122,'[1]zawodnicy'!$A:$E,3,FALSE)," - ",VLOOKUP(N122,'[1]zawodnicy'!$A:$E,4,FALSE)),"")</f>
      </c>
      <c r="V121" s="316"/>
      <c r="W121" s="43" t="str">
        <f>IF(SUM(AN118:AO118)=0,"",AO118&amp;":"&amp;AN118)</f>
        <v>18:21</v>
      </c>
      <c r="X121" s="80" t="str">
        <f>IF(SUM(AN121:AO121)=0,"",AO121&amp;":"&amp;AN121)</f>
        <v>21:10</v>
      </c>
      <c r="Y121" s="44"/>
      <c r="Z121" s="45" t="str">
        <f>IF(SUM(AN122:AO122)=0,"",AN122&amp;":"&amp;AO122)</f>
        <v>21:13</v>
      </c>
      <c r="AA121" s="279" t="str">
        <f>IF(SUM(AV120:AY120,BB120:BC120)=0,"",BD120&amp;":"&amp;BE120)</f>
        <v>133:110</v>
      </c>
      <c r="AB121" s="282" t="str">
        <f>IF(SUM(AV120:AY120,BB120:BC120)=0,"",BF120&amp;":"&amp;BG120)</f>
        <v>5:2</v>
      </c>
      <c r="AC121" s="282" t="str">
        <f>IF(SUM(AV120:AY120,BB120:BC120)=0,"",BH120&amp;":"&amp;BI120)</f>
        <v>2:1</v>
      </c>
      <c r="AD121" s="283">
        <f>IF(SUM(BH118:BH121)&gt;0,BJ120,"")</f>
        <v>2</v>
      </c>
      <c r="AE121" s="22"/>
      <c r="AF121" s="22"/>
      <c r="AG121" s="41" t="s">
        <v>17</v>
      </c>
      <c r="AH121" s="46">
        <f>IF(ISBLANK(S121),"",VLOOKUP(S121,'[1]plan gier'!$X:$AN,12,FALSE))</f>
        <v>10</v>
      </c>
      <c r="AI121" s="47">
        <f>IF(ISBLANK(S121),"",VLOOKUP(S121,'[1]plan gier'!$X:$AN,13,FALSE))</f>
        <v>21</v>
      </c>
      <c r="AJ121" s="47">
        <f>IF(ISBLANK(S121),"",VLOOKUP(S121,'[1]plan gier'!$X:$AN,14,FALSE))</f>
        <v>13</v>
      </c>
      <c r="AK121" s="47">
        <f>IF(ISBLANK(S121),"",VLOOKUP(S121,'[1]plan gier'!$X:$AN,15,FALSE))</f>
        <v>21</v>
      </c>
      <c r="AL121" s="47">
        <f>IF(ISBLANK(S121),"",VLOOKUP(S121,'[1]plan gier'!$X:$AN,16,FALSE))</f>
        <v>0</v>
      </c>
      <c r="AM121" s="47">
        <f>IF(ISBLANK(S121),"",VLOOKUP(S121,'[1]plan gier'!$X:$AN,17,FALSE))</f>
        <v>0</v>
      </c>
      <c r="AN121" s="60">
        <f t="shared" si="7"/>
        <v>10</v>
      </c>
      <c r="AO121" s="61">
        <f t="shared" si="7"/>
        <v>21</v>
      </c>
      <c r="AP121" s="61">
        <f t="shared" si="7"/>
        <v>13</v>
      </c>
      <c r="AQ121" s="61">
        <f t="shared" si="7"/>
        <v>21</v>
      </c>
      <c r="AR121" s="61">
        <f t="shared" si="7"/>
        <v>0</v>
      </c>
      <c r="AS121" s="66">
        <f t="shared" si="7"/>
        <v>0</v>
      </c>
      <c r="AT121" s="130">
        <f t="shared" si="8"/>
        <v>65</v>
      </c>
      <c r="AU121" s="87">
        <v>4</v>
      </c>
      <c r="AV121" s="143">
        <f>IF(AH120&lt;AI120,1,0)+IF(AJ120&lt;AK120,1,0)+IF(AL120&lt;AM120,1,0)</f>
        <v>0</v>
      </c>
      <c r="AW121" s="144">
        <f>BB118</f>
        <v>2</v>
      </c>
      <c r="AX121" s="144">
        <f>IF(AH119&lt;AI119,1,0)+IF(AJ119&lt;AK119,1,0)+IF(AL119&lt;AM119,1,0)</f>
        <v>2</v>
      </c>
      <c r="AY121" s="144">
        <f>BB119</f>
        <v>1</v>
      </c>
      <c r="AZ121" s="72">
        <f>IF(AH122&lt;AI122,1,0)+IF(AJ122&lt;AK122,1,0)+IF(AL122&lt;AM122,1,0)</f>
        <v>0</v>
      </c>
      <c r="BA121" s="72">
        <f>BB120</f>
        <v>2</v>
      </c>
      <c r="BB121" s="145"/>
      <c r="BC121" s="146"/>
      <c r="BD121" s="71">
        <f>AO119+AQ119+AS119+AO120+AQ120+AS120+AO122+AQ122+AS122</f>
        <v>112</v>
      </c>
      <c r="BE121" s="78">
        <f>AN119+AP119+AR119+AN120+AP120+AR120+AN122+AP122+AR122</f>
        <v>143</v>
      </c>
      <c r="BF121" s="71">
        <f>AV121+AX121+AZ121</f>
        <v>2</v>
      </c>
      <c r="BG121" s="77">
        <f>AW121+AY121+BA121</f>
        <v>5</v>
      </c>
      <c r="BH121" s="71">
        <f>IF(AV121&gt;AW121,1,0)+IF(AX121&gt;AY121,1,0)+IF(AZ121&gt;BA121,1,0)</f>
        <v>1</v>
      </c>
      <c r="BI121" s="77">
        <f>IF(AW121&gt;AV121,1,0)+IF(AY121&gt;AX121,1,0)+IF(BA121&gt;AZ121,1,0)</f>
        <v>2</v>
      </c>
      <c r="BJ121" s="79">
        <f>IF(BH121+BI121=0,"",IF(BK121=MAX(BK118:BK121),1,IF(BK121=LARGE(BK118:BK121,2),2,IF(BK121=MIN(BK118:BK121),4,3))))</f>
        <v>3</v>
      </c>
      <c r="BK121" s="135">
        <f>IF(BH121+BI121&lt;&gt;0,BH121-BI121+(BF121-BG121)/100+(BD121-BE121)/10000,-3)</f>
        <v>-1.0331000000000001</v>
      </c>
    </row>
    <row r="122" spans="1:63" ht="11.25" customHeight="1">
      <c r="A122" s="12">
        <f t="shared" si="6"/>
        <v>42</v>
      </c>
      <c r="B122" s="12" t="str">
        <f>IF(N122="","",N122)</f>
        <v>B0021</v>
      </c>
      <c r="C122" s="12">
        <f>IF(N123="","",N123)</f>
      </c>
      <c r="D122" s="12" t="str">
        <f>IF(N125="","",N125)</f>
        <v>G0015</v>
      </c>
      <c r="E122" s="12">
        <f>IF(N126="","",N126)</f>
      </c>
      <c r="H122" s="29"/>
      <c r="I122" s="2" t="str">
        <f>"4"&amp;O114&amp;N115</f>
        <v>41Runners Up</v>
      </c>
      <c r="J122" s="29" t="str">
        <f>IF(AD124="","",IF(AD115=4,N116,IF(AD118=4,N119,IF(AD121=4,N122,IF(AD124=4,N125,"")))))</f>
        <v>W0014</v>
      </c>
      <c r="K122" s="29">
        <f>IF(AD124="","",IF(AD115=4,N117,IF(AD118=4,N120,IF(AD121=4,N123,IF(AD124=4,N126,"")))))</f>
        <v>0</v>
      </c>
      <c r="L122" s="29"/>
      <c r="M122" s="39" t="str">
        <f>N115</f>
        <v>Runners Up</v>
      </c>
      <c r="N122" s="30" t="s">
        <v>57</v>
      </c>
      <c r="O122" s="31">
        <f>IF(O114&gt;0,(O114&amp;3)*1,"")</f>
        <v>13</v>
      </c>
      <c r="Q122" s="40">
        <f>IF(AT122&gt;0,"",IF(A122=0,"",IF(VLOOKUP(A122,'[1]plan gier'!A:S,19,FALSE)="","",VLOOKUP(A122,'[1]plan gier'!A:S,19,FALSE))))</f>
      </c>
      <c r="R122" s="41" t="s">
        <v>58</v>
      </c>
      <c r="S122" s="127">
        <v>42</v>
      </c>
      <c r="T122" s="260"/>
      <c r="U122" s="271" t="str">
        <f>IF(AND(N122&lt;&gt;"",N123=""),CONCATENATE(VLOOKUP(N122,'[1]zawodnicy'!$A:$E,1,FALSE)," ",VLOOKUP(N122,'[1]zawodnicy'!$A:$E,2,FALSE)," ",VLOOKUP(N122,'[1]zawodnicy'!$A:$E,3,FALSE)," - ",VLOOKUP(N122,'[1]zawodnicy'!$A:$E,4,FALSE)),"")</f>
        <v>B0021 Krystian BUKOWIŃSKI - Dubiecko</v>
      </c>
      <c r="V122" s="311"/>
      <c r="W122" s="58" t="str">
        <f>IF(SUM(AP118:AQ118)=0,"",AQ118&amp;":"&amp;AP118)</f>
        <v>21:18</v>
      </c>
      <c r="X122" s="33" t="str">
        <f>IF(SUM(AP121:AQ121)=0,"",AQ121&amp;":"&amp;AP121)</f>
        <v>21:13</v>
      </c>
      <c r="Y122" s="59"/>
      <c r="Z122" s="34" t="str">
        <f>IF(SUM(AP122:AQ122)=0,"",AP122&amp;":"&amp;AQ122)</f>
        <v>21:14</v>
      </c>
      <c r="AA122" s="260"/>
      <c r="AB122" s="265"/>
      <c r="AC122" s="265"/>
      <c r="AD122" s="268"/>
      <c r="AE122" s="22"/>
      <c r="AF122" s="22"/>
      <c r="AG122" s="41" t="s">
        <v>58</v>
      </c>
      <c r="AH122" s="46">
        <f>IF(ISBLANK(S122),"",VLOOKUP(S122,'[1]plan gier'!$X:$AN,12,FALSE))</f>
        <v>21</v>
      </c>
      <c r="AI122" s="47">
        <f>IF(ISBLANK(S122),"",VLOOKUP(S122,'[1]plan gier'!$X:$AN,13,FALSE))</f>
        <v>13</v>
      </c>
      <c r="AJ122" s="47">
        <f>IF(ISBLANK(S122),"",VLOOKUP(S122,'[1]plan gier'!$X:$AN,14,FALSE))</f>
        <v>21</v>
      </c>
      <c r="AK122" s="47">
        <f>IF(ISBLANK(S122),"",VLOOKUP(S122,'[1]plan gier'!$X:$AN,15,FALSE))</f>
        <v>14</v>
      </c>
      <c r="AL122" s="47">
        <f>IF(ISBLANK(S122),"",VLOOKUP(S122,'[1]plan gier'!$X:$AN,16,FALSE))</f>
        <v>0</v>
      </c>
      <c r="AM122" s="47">
        <f>IF(ISBLANK(S122),"",VLOOKUP(S122,'[1]plan gier'!$X:$AN,17,FALSE))</f>
        <v>0</v>
      </c>
      <c r="AN122" s="60">
        <f t="shared" si="7"/>
        <v>21</v>
      </c>
      <c r="AO122" s="61">
        <f t="shared" si="7"/>
        <v>13</v>
      </c>
      <c r="AP122" s="61">
        <f t="shared" si="7"/>
        <v>21</v>
      </c>
      <c r="AQ122" s="61">
        <f t="shared" si="7"/>
        <v>14</v>
      </c>
      <c r="AR122" s="61">
        <f t="shared" si="7"/>
        <v>0</v>
      </c>
      <c r="AS122" s="66">
        <f t="shared" si="7"/>
        <v>0</v>
      </c>
      <c r="AT122" s="130">
        <f t="shared" si="8"/>
        <v>69</v>
      </c>
      <c r="BD122" s="12">
        <f aca="true" t="shared" si="9" ref="BD122:BI122">SUM(BD118:BD121)</f>
        <v>490</v>
      </c>
      <c r="BE122" s="12">
        <f t="shared" si="9"/>
        <v>490</v>
      </c>
      <c r="BF122" s="12">
        <f t="shared" si="9"/>
        <v>14</v>
      </c>
      <c r="BG122" s="12">
        <f t="shared" si="9"/>
        <v>14</v>
      </c>
      <c r="BH122" s="12">
        <f t="shared" si="9"/>
        <v>6</v>
      </c>
      <c r="BI122" s="12">
        <f t="shared" si="9"/>
        <v>6</v>
      </c>
      <c r="BK122" s="13">
        <f>SUM(BK118:BK121)</f>
        <v>0</v>
      </c>
    </row>
    <row r="123" spans="1:46" ht="11.25" customHeight="1" thickBot="1">
      <c r="A123" s="12">
        <f t="shared" si="6"/>
        <v>43</v>
      </c>
      <c r="B123" s="12" t="str">
        <f>IF(N116="","",N116)</f>
        <v>N0002</v>
      </c>
      <c r="C123" s="12">
        <f>IF(N117="","",N117)</f>
      </c>
      <c r="D123" s="12" t="str">
        <f>IF(N119="","",N119)</f>
        <v>W0014</v>
      </c>
      <c r="E123" s="12">
        <f>IF(N120="","",N120)</f>
      </c>
      <c r="J123" s="23"/>
      <c r="K123" s="23"/>
      <c r="L123" s="23"/>
      <c r="M123" s="39" t="str">
        <f>N115</f>
        <v>Runners Up</v>
      </c>
      <c r="N123" s="35"/>
      <c r="O123" s="23"/>
      <c r="P123" s="23"/>
      <c r="Q123" s="40">
        <f>IF(AT123&gt;0,"",IF(A123=0,"",IF(VLOOKUP(A123,'[1]plan gier'!A:S,19,FALSE)="","",VLOOKUP(A123,'[1]plan gier'!A:S,19,FALSE))))</f>
      </c>
      <c r="R123" s="41" t="s">
        <v>18</v>
      </c>
      <c r="S123" s="127">
        <v>43</v>
      </c>
      <c r="T123" s="261"/>
      <c r="U123" s="273">
        <f>IF(N123&lt;&gt;"",CONCATENATE(VLOOKUP(N123,'[1]zawodnicy'!$A:$E,1,FALSE)," ",VLOOKUP(N123,'[1]zawodnicy'!$A:$E,2,FALSE)," ",VLOOKUP(N123,'[1]zawodnicy'!$A:$E,3,FALSE)," - ",VLOOKUP(N123,'[1]zawodnicy'!$A:$E,4,FALSE)),"")</f>
      </c>
      <c r="V123" s="312"/>
      <c r="W123" s="70" t="str">
        <f>IF(SUM(AR118:AS118)=0,"",AS118&amp;":"&amp;AR118)</f>
        <v>10:21</v>
      </c>
      <c r="X123" s="36">
        <f>IF(SUM(AR121:AS121)=0,"",AS121&amp;":"&amp;AR121)</f>
      </c>
      <c r="Y123" s="59"/>
      <c r="Z123" s="37">
        <f>IF(SUM(AR122:AS122)=0,"",AR122&amp;":"&amp;AS122)</f>
      </c>
      <c r="AA123" s="260"/>
      <c r="AB123" s="265"/>
      <c r="AC123" s="265"/>
      <c r="AD123" s="268"/>
      <c r="AE123" s="22"/>
      <c r="AF123" s="22"/>
      <c r="AG123" s="41" t="s">
        <v>18</v>
      </c>
      <c r="AH123" s="143">
        <f>IF(ISBLANK(S123),"",VLOOKUP(S123,'[1]plan gier'!$X:$AN,12,FALSE))</f>
        <v>21</v>
      </c>
      <c r="AI123" s="144">
        <f>IF(ISBLANK(S123),"",VLOOKUP(S123,'[1]plan gier'!$X:$AN,13,FALSE))</f>
        <v>11</v>
      </c>
      <c r="AJ123" s="144">
        <f>IF(ISBLANK(S123),"",VLOOKUP(S123,'[1]plan gier'!$X:$AN,14,FALSE))</f>
        <v>21</v>
      </c>
      <c r="AK123" s="144">
        <f>IF(ISBLANK(S123),"",VLOOKUP(S123,'[1]plan gier'!$X:$AN,15,FALSE))</f>
        <v>8</v>
      </c>
      <c r="AL123" s="144">
        <f>IF(ISBLANK(S123),"",VLOOKUP(S123,'[1]plan gier'!$X:$AN,16,FALSE))</f>
        <v>0</v>
      </c>
      <c r="AM123" s="144">
        <f>IF(ISBLANK(S123),"",VLOOKUP(S123,'[1]plan gier'!$X:$AN,17,FALSE))</f>
        <v>0</v>
      </c>
      <c r="AN123" s="71">
        <f t="shared" si="7"/>
        <v>21</v>
      </c>
      <c r="AO123" s="72">
        <f t="shared" si="7"/>
        <v>11</v>
      </c>
      <c r="AP123" s="72">
        <f t="shared" si="7"/>
        <v>21</v>
      </c>
      <c r="AQ123" s="72">
        <f t="shared" si="7"/>
        <v>8</v>
      </c>
      <c r="AR123" s="72">
        <f t="shared" si="7"/>
        <v>0</v>
      </c>
      <c r="AS123" s="77">
        <f t="shared" si="7"/>
        <v>0</v>
      </c>
      <c r="AT123" s="130">
        <f t="shared" si="8"/>
        <v>61</v>
      </c>
    </row>
    <row r="124" spans="1:46" ht="11.25" customHeight="1">
      <c r="A124" s="2"/>
      <c r="J124" s="23"/>
      <c r="K124" s="23"/>
      <c r="L124" s="23"/>
      <c r="O124" s="23"/>
      <c r="P124" s="23"/>
      <c r="Q124" s="2"/>
      <c r="R124" s="2"/>
      <c r="S124" s="2"/>
      <c r="T124" s="279">
        <v>4</v>
      </c>
      <c r="U124" s="280">
        <f>IF(AND(N125&lt;&gt;"",N126&lt;&gt;""),CONCATENATE(VLOOKUP(N125,'[1]zawodnicy'!$A:$E,1,FALSE)," ",VLOOKUP(N125,'[1]zawodnicy'!$A:$E,2,FALSE)," ",VLOOKUP(N125,'[1]zawodnicy'!$A:$E,3,FALSE)," - ",VLOOKUP(N125,'[1]zawodnicy'!$A:$E,4,FALSE)),"")</f>
      </c>
      <c r="V124" s="316"/>
      <c r="W124" s="43" t="str">
        <f>IF(SUM(AN120:AO120)=0,"",AO120&amp;":"&amp;AN120)</f>
        <v>10:21</v>
      </c>
      <c r="X124" s="80" t="str">
        <f>IF(SUM(AN119:AO119)=0,"",AO119&amp;":"&amp;AN119)</f>
        <v>21:17</v>
      </c>
      <c r="Y124" s="80" t="str">
        <f>IF(SUM(AN122:AO122)=0,"",AO122&amp;":"&amp;AN122)</f>
        <v>13:21</v>
      </c>
      <c r="Z124" s="147"/>
      <c r="AA124" s="279" t="str">
        <f>IF(SUM(AV121:BA121)=0,"",BD121&amp;":"&amp;BE121)</f>
        <v>112:143</v>
      </c>
      <c r="AB124" s="282" t="str">
        <f>IF(SUM(AV121:BA121)=0,"",BF121&amp;":"&amp;BG121)</f>
        <v>2:5</v>
      </c>
      <c r="AC124" s="282" t="str">
        <f>IF(SUM(AV121:BA121)=0,"",BH121&amp;":"&amp;BI121)</f>
        <v>1:2</v>
      </c>
      <c r="AD124" s="283">
        <f>IF(SUM(BH118:BH121)&gt;0,BJ121,"")</f>
        <v>3</v>
      </c>
      <c r="AE124" s="22"/>
      <c r="AF124" s="2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63" ht="11.25" customHeight="1">
      <c r="A125" s="12"/>
      <c r="B125" s="12"/>
      <c r="C125" s="12"/>
      <c r="D125" s="12"/>
      <c r="E125" s="12"/>
      <c r="H125" s="29"/>
      <c r="J125" s="12"/>
      <c r="K125" s="12"/>
      <c r="L125" s="12"/>
      <c r="N125" s="30" t="s">
        <v>59</v>
      </c>
      <c r="O125" s="31">
        <f>IF(O114&gt;0,(O114&amp;4)*1,"")</f>
        <v>14</v>
      </c>
      <c r="Q125" s="82"/>
      <c r="R125" s="82"/>
      <c r="S125" s="42"/>
      <c r="T125" s="260"/>
      <c r="U125" s="271" t="str">
        <f>IF(AND(N125&lt;&gt;"",N126=""),CONCATENATE(VLOOKUP(N125,'[1]zawodnicy'!$A:$E,1,FALSE)," ",VLOOKUP(N125,'[1]zawodnicy'!$A:$E,2,FALSE)," ",VLOOKUP(N125,'[1]zawodnicy'!$A:$E,3,FALSE)," - ",VLOOKUP(N125,'[1]zawodnicy'!$A:$E,4,FALSE)),"")</f>
        <v>G0015 Piotr GŁOWACKI - Tarnowiec</v>
      </c>
      <c r="V125" s="311"/>
      <c r="W125" s="58" t="str">
        <f>IF(SUM(AP120:AQ120)=0,"",AQ120&amp;":"&amp;AP120)</f>
        <v>11:21</v>
      </c>
      <c r="X125" s="33" t="str">
        <f>IF(SUM(AP119:AQ119)=0,"",AQ119&amp;":"&amp;AP119)</f>
        <v>22:24</v>
      </c>
      <c r="Y125" s="33" t="str">
        <f>IF(SUM(AP122:AQ122)=0,"",AQ122&amp;":"&amp;AP122)</f>
        <v>14:21</v>
      </c>
      <c r="Z125" s="148"/>
      <c r="AA125" s="260"/>
      <c r="AB125" s="265"/>
      <c r="AC125" s="265"/>
      <c r="AD125" s="268"/>
      <c r="AE125" s="22"/>
      <c r="AF125" s="2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1:63" ht="11.25" customHeight="1" thickBot="1">
      <c r="A126" s="2"/>
      <c r="J126" s="23"/>
      <c r="K126" s="23"/>
      <c r="L126" s="23"/>
      <c r="N126" s="35"/>
      <c r="O126" s="23"/>
      <c r="P126" s="23"/>
      <c r="Q126" s="2"/>
      <c r="R126" s="2"/>
      <c r="S126" s="2"/>
      <c r="T126" s="284"/>
      <c r="U126" s="287">
        <f>IF(N126&lt;&gt;"",CONCATENATE(VLOOKUP(N126,'[1]zawodnicy'!$A:$E,1,FALSE)," ",VLOOKUP(N126,'[1]zawodnicy'!$A:$E,2,FALSE)," ",VLOOKUP(N126,'[1]zawodnicy'!$A:$E,3,FALSE)," - ",VLOOKUP(N126,'[1]zawodnicy'!$A:$E,4,FALSE)),"")</f>
      </c>
      <c r="V126" s="319"/>
      <c r="W126" s="84">
        <f>IF(SUM(AR120:AS120)=0,"",AS120&amp;":"&amp;AR120)</f>
      </c>
      <c r="X126" s="85" t="str">
        <f>IF(SUM(AR119:AS119)=0,"",AS119&amp;":"&amp;AR119)</f>
        <v>21:18</v>
      </c>
      <c r="Y126" s="85">
        <f>IF(SUM(AR122:AS122)=0,"",AS122&amp;":"&amp;AR122)</f>
      </c>
      <c r="Z126" s="86"/>
      <c r="AA126" s="284"/>
      <c r="AB126" s="285"/>
      <c r="AC126" s="285"/>
      <c r="AD126" s="286"/>
      <c r="AE126" s="22"/>
      <c r="AF126" s="2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ht="11.25" customHeight="1" thickBot="1"/>
    <row r="128" spans="14:32" ht="11.25" customHeight="1" thickBot="1">
      <c r="N128" s="8"/>
      <c r="O128" s="14">
        <v>2</v>
      </c>
      <c r="Q128" s="253" t="str">
        <f>"Grupa "&amp;O128&amp;"."</f>
        <v>Grupa 2.</v>
      </c>
      <c r="R128" s="253"/>
      <c r="S128" s="254"/>
      <c r="T128" s="15" t="s">
        <v>1</v>
      </c>
      <c r="U128" s="255" t="s">
        <v>2</v>
      </c>
      <c r="V128" s="256"/>
      <c r="W128" s="15">
        <v>1</v>
      </c>
      <c r="X128" s="17">
        <v>2</v>
      </c>
      <c r="Y128" s="18">
        <v>3</v>
      </c>
      <c r="Z128" s="19" t="s">
        <v>3</v>
      </c>
      <c r="AA128" s="20" t="s">
        <v>4</v>
      </c>
      <c r="AB128" s="20" t="s">
        <v>5</v>
      </c>
      <c r="AC128" s="21" t="s">
        <v>6</v>
      </c>
      <c r="AD128" s="2"/>
      <c r="AE128" s="22"/>
      <c r="AF128" s="22"/>
    </row>
    <row r="129" spans="10:45" ht="11.25" customHeight="1">
      <c r="J129" s="23"/>
      <c r="K129" s="23"/>
      <c r="L129" s="23"/>
      <c r="N129" s="24" t="s">
        <v>52</v>
      </c>
      <c r="Q129" s="257" t="s">
        <v>7</v>
      </c>
      <c r="R129" s="257"/>
      <c r="S129" s="258" t="s">
        <v>8</v>
      </c>
      <c r="T129" s="259">
        <v>1</v>
      </c>
      <c r="U129" s="262">
        <f>IF(AND(N130&lt;&gt;"",N131&lt;&gt;""),CONCATENATE(VLOOKUP(N130,'[1]zawodnicy'!$A:$E,1,FALSE)," ",VLOOKUP(N130,'[1]zawodnicy'!$A:$E,2,FALSE)," ",VLOOKUP(N130,'[1]zawodnicy'!$A:$E,3,FALSE)," - ",VLOOKUP(N130,'[1]zawodnicy'!$A:$E,4,FALSE)),"")</f>
      </c>
      <c r="V129" s="263"/>
      <c r="W129" s="25"/>
      <c r="X129" s="26" t="str">
        <f>IF(SUM(AN134:AO134)=0,"",AN134&amp;":"&amp;AO134)</f>
        <v>19:21</v>
      </c>
      <c r="Y129" s="27" t="str">
        <f>IF(SUM(AN132:AO132)=0,"",AN132&amp;":"&amp;AO132)</f>
        <v>21:6</v>
      </c>
      <c r="Z129" s="259" t="str">
        <f>IF(SUM(AX132:BA132)=0,"",BD132&amp;":"&amp;BE132)</f>
        <v>100:77</v>
      </c>
      <c r="AA129" s="264" t="str">
        <f>IF(SUM(AX132:BA132)=0,"",BF132&amp;":"&amp;BG132)</f>
        <v>3:2</v>
      </c>
      <c r="AB129" s="264" t="str">
        <f>IF(SUM(AX132:BA132)=0,"",BH132&amp;":"&amp;BI132)</f>
        <v>1:1</v>
      </c>
      <c r="AC129" s="267">
        <f>IF(SUM(BH132:BH134)&gt;0,BJ132,"")</f>
        <v>2</v>
      </c>
      <c r="AD129" s="2"/>
      <c r="AE129" s="22"/>
      <c r="AF129" s="22"/>
      <c r="AG129" s="28"/>
      <c r="AH129" s="270" t="s">
        <v>9</v>
      </c>
      <c r="AI129" s="270"/>
      <c r="AJ129" s="270"/>
      <c r="AK129" s="270"/>
      <c r="AL129" s="270"/>
      <c r="AM129" s="270"/>
      <c r="AN129" s="270" t="s">
        <v>10</v>
      </c>
      <c r="AO129" s="270"/>
      <c r="AP129" s="270"/>
      <c r="AQ129" s="270"/>
      <c r="AR129" s="270"/>
      <c r="AS129" s="270"/>
    </row>
    <row r="130" spans="9:59" ht="11.25" customHeight="1" thickBot="1">
      <c r="I130" s="2" t="str">
        <f>"1"&amp;O128&amp;N129</f>
        <v>12Runners Up</v>
      </c>
      <c r="J130" s="29" t="str">
        <f>IF(AC129="","",IF(AC129=1,N130,IF(AC132=1,N133,IF(AC135=1,N136,""))))</f>
        <v>S0020</v>
      </c>
      <c r="K130" s="29">
        <f>IF(AC129="","",IF(AC129=1,N131,IF(AC132=1,N134,IF(AC135=1,N137,""))))</f>
        <v>0</v>
      </c>
      <c r="L130" s="29"/>
      <c r="N130" s="30" t="s">
        <v>60</v>
      </c>
      <c r="O130" s="31">
        <f>IF(O128&gt;0,(O128&amp;1)*1,"")</f>
        <v>21</v>
      </c>
      <c r="Q130" s="257"/>
      <c r="R130" s="257"/>
      <c r="S130" s="258"/>
      <c r="T130" s="260"/>
      <c r="U130" s="271" t="str">
        <f>IF(AND(N130&lt;&gt;"",N131=""),CONCATENATE(VLOOKUP(N130,'[1]zawodnicy'!$A:$E,1,FALSE)," ",VLOOKUP(N130,'[1]zawodnicy'!$A:$E,2,FALSE)," ",VLOOKUP(N130,'[1]zawodnicy'!$A:$E,3,FALSE)," - ",VLOOKUP(N130,'[1]zawodnicy'!$A:$E,4,FALSE)),"")</f>
        <v>K0012 Piotr KOTERBA - Rzeszów</v>
      </c>
      <c r="V130" s="272"/>
      <c r="W130" s="32"/>
      <c r="X130" s="33" t="str">
        <f>IF(SUM(AP134:AQ134)=0,"",AP134&amp;":"&amp;AQ134)</f>
        <v>22:20</v>
      </c>
      <c r="Y130" s="34" t="str">
        <f>IF(SUM(AP132:AQ132)=0,"",AP132&amp;":"&amp;AQ132)</f>
        <v>21:9</v>
      </c>
      <c r="Z130" s="260"/>
      <c r="AA130" s="265"/>
      <c r="AB130" s="265"/>
      <c r="AC130" s="268"/>
      <c r="AD130" s="2"/>
      <c r="AE130" s="22"/>
      <c r="AF130" s="22"/>
      <c r="AG130" s="28"/>
      <c r="BD130" s="12">
        <f>SUM(BD132:BD134)</f>
        <v>238</v>
      </c>
      <c r="BE130" s="12">
        <f>SUM(BE132:BE134)</f>
        <v>238</v>
      </c>
      <c r="BF130" s="12">
        <f>SUM(BF132:BF134)</f>
        <v>7</v>
      </c>
      <c r="BG130" s="12">
        <f>SUM(BG132:BG134)</f>
        <v>7</v>
      </c>
    </row>
    <row r="131" spans="10:63" ht="11.25" customHeight="1" thickBot="1">
      <c r="J131" s="29"/>
      <c r="K131" s="23"/>
      <c r="L131" s="23"/>
      <c r="N131" s="35"/>
      <c r="O131" s="23"/>
      <c r="P131" s="23"/>
      <c r="Q131" s="257"/>
      <c r="R131" s="257"/>
      <c r="S131" s="258"/>
      <c r="T131" s="261"/>
      <c r="U131" s="273">
        <f>IF(N131&lt;&gt;"",CONCATENATE(VLOOKUP(N131,'[1]zawodnicy'!$A:$E,1,FALSE)," ",VLOOKUP(N131,'[1]zawodnicy'!$A:$E,2,FALSE)," ",VLOOKUP(N131,'[1]zawodnicy'!$A:$E,3,FALSE)," - ",VLOOKUP(N131,'[1]zawodnicy'!$A:$E,4,FALSE)),"")</f>
      </c>
      <c r="V131" s="274"/>
      <c r="W131" s="32"/>
      <c r="X131" s="36" t="str">
        <f>IF(SUM(AR134:AS134)=0,"",AR134&amp;":"&amp;AS134)</f>
        <v>17:21</v>
      </c>
      <c r="Y131" s="37">
        <f>IF(SUM(AR132:AS132)=0,"",AR132&amp;":"&amp;AS132)</f>
      </c>
      <c r="Z131" s="261"/>
      <c r="AA131" s="266"/>
      <c r="AB131" s="266"/>
      <c r="AC131" s="269"/>
      <c r="AD131" s="2"/>
      <c r="AE131" s="22"/>
      <c r="AF131" s="22"/>
      <c r="AG131" s="28"/>
      <c r="AH131" s="275" t="s">
        <v>12</v>
      </c>
      <c r="AI131" s="276"/>
      <c r="AJ131" s="277" t="s">
        <v>13</v>
      </c>
      <c r="AK131" s="276"/>
      <c r="AL131" s="277" t="s">
        <v>14</v>
      </c>
      <c r="AM131" s="278"/>
      <c r="AN131" s="275" t="s">
        <v>12</v>
      </c>
      <c r="AO131" s="276"/>
      <c r="AP131" s="277" t="s">
        <v>13</v>
      </c>
      <c r="AQ131" s="276"/>
      <c r="AR131" s="277" t="s">
        <v>14</v>
      </c>
      <c r="AS131" s="276"/>
      <c r="AT131" s="22"/>
      <c r="AU131" s="22"/>
      <c r="AV131" s="275">
        <v>1</v>
      </c>
      <c r="AW131" s="276"/>
      <c r="AX131" s="277">
        <v>2</v>
      </c>
      <c r="AY131" s="276"/>
      <c r="AZ131" s="277">
        <v>3</v>
      </c>
      <c r="BA131" s="278"/>
      <c r="BD131" s="275" t="s">
        <v>3</v>
      </c>
      <c r="BE131" s="278"/>
      <c r="BF131" s="275" t="s">
        <v>4</v>
      </c>
      <c r="BG131" s="278"/>
      <c r="BH131" s="275" t="s">
        <v>5</v>
      </c>
      <c r="BI131" s="278"/>
      <c r="BJ131" s="38" t="s">
        <v>6</v>
      </c>
      <c r="BK131" s="13">
        <f>SUM(BK132:BK134)</f>
        <v>0</v>
      </c>
    </row>
    <row r="132" spans="1:63" ht="11.25" customHeight="1">
      <c r="A132" s="12">
        <f>S132</f>
        <v>34</v>
      </c>
      <c r="B132" s="2" t="str">
        <f>IF(N130="","",N130)</f>
        <v>K0012</v>
      </c>
      <c r="C132" s="2">
        <f>IF(N131="","",N131)</f>
      </c>
      <c r="D132" s="2" t="str">
        <f>IF(N136="","",N136)</f>
        <v>O0004</v>
      </c>
      <c r="E132" s="2">
        <f>IF(N137="","",N137)</f>
      </c>
      <c r="I132" s="2" t="str">
        <f>"2"&amp;O128&amp;N129</f>
        <v>22Runners Up</v>
      </c>
      <c r="J132" s="29" t="str">
        <f>IF(AC132="","",IF(AC129=2,N130,IF(AC132=2,N133,IF(AC135=2,N136,""))))</f>
        <v>K0012</v>
      </c>
      <c r="K132" s="29">
        <f>IF(AC132="","",IF(AC129=2,N131,IF(AC132=2,N134,IF(AC135=2,N137,""))))</f>
        <v>0</v>
      </c>
      <c r="M132" s="39" t="str">
        <f>N129</f>
        <v>Runners Up</v>
      </c>
      <c r="O132" s="23"/>
      <c r="P132" s="23"/>
      <c r="Q132" s="40">
        <f>IF(AT132&gt;0,"",IF(A132=0,"",IF(VLOOKUP(A132,'[1]plan gier'!A:S,19,FALSE)="","",VLOOKUP(A132,'[1]plan gier'!A:S,19,FALSE))))</f>
      </c>
      <c r="R132" s="41" t="s">
        <v>15</v>
      </c>
      <c r="S132" s="42">
        <v>34</v>
      </c>
      <c r="T132" s="279">
        <v>2</v>
      </c>
      <c r="U132" s="280">
        <f>IF(AND(N133&lt;&gt;"",N134&lt;&gt;""),CONCATENATE(VLOOKUP(N133,'[1]zawodnicy'!$A:$E,1,FALSE)," ",VLOOKUP(N133,'[1]zawodnicy'!$A:$E,2,FALSE)," ",VLOOKUP(N133,'[1]zawodnicy'!$A:$E,3,FALSE)," - ",VLOOKUP(N133,'[1]zawodnicy'!$A:$E,4,FALSE)),"")</f>
      </c>
      <c r="V132" s="281"/>
      <c r="W132" s="43" t="str">
        <f>IF(SUM(AN134:AO134)=0,"",AO134&amp;":"&amp;AN134)</f>
        <v>21:19</v>
      </c>
      <c r="X132" s="44"/>
      <c r="Y132" s="45" t="str">
        <f>IF(SUM(AN133:AO133)=0,"",AN133&amp;":"&amp;AO133)</f>
        <v>21:8</v>
      </c>
      <c r="Z132" s="279" t="str">
        <f>IF(SUM(AV133:AW133,AZ133:BA133)=0,"",BD133&amp;":"&amp;BE133)</f>
        <v>104:77</v>
      </c>
      <c r="AA132" s="282" t="str">
        <f>IF(SUM(AV133:AW133,AZ133:BA133)=0,"",BF133&amp;":"&amp;BG133)</f>
        <v>4:1</v>
      </c>
      <c r="AB132" s="282" t="str">
        <f>IF(SUM(AV133:AW133,AZ133:BA133)=0,"",BH133&amp;":"&amp;BI133)</f>
        <v>2:0</v>
      </c>
      <c r="AC132" s="283">
        <f>IF(SUM(BH132:BH134)&gt;0,BJ133,"")</f>
        <v>1</v>
      </c>
      <c r="AD132" s="2"/>
      <c r="AE132" s="22"/>
      <c r="AF132" s="22"/>
      <c r="AG132" s="41" t="s">
        <v>15</v>
      </c>
      <c r="AH132" s="46">
        <f>IF(ISBLANK(S132),"",VLOOKUP(S132,'[1]plan gier'!$X:$AN,12,FALSE))</f>
        <v>21</v>
      </c>
      <c r="AI132" s="47">
        <f>IF(ISBLANK(S132),"",VLOOKUP(S132,'[1]plan gier'!$X:$AN,13,FALSE))</f>
        <v>6</v>
      </c>
      <c r="AJ132" s="47">
        <f>IF(ISBLANK(S132),"",VLOOKUP(S132,'[1]plan gier'!$X:$AN,14,FALSE))</f>
        <v>21</v>
      </c>
      <c r="AK132" s="47">
        <f>IF(ISBLANK(S132),"",VLOOKUP(S132,'[1]plan gier'!$X:$AN,15,FALSE))</f>
        <v>9</v>
      </c>
      <c r="AL132" s="47">
        <f>IF(ISBLANK(S132),"",VLOOKUP(S132,'[1]plan gier'!$X:$AN,16,FALSE))</f>
        <v>0</v>
      </c>
      <c r="AM132" s="47">
        <f>IF(ISBLANK(S132),"",VLOOKUP(S132,'[1]plan gier'!$X:$AN,17,FALSE))</f>
        <v>0</v>
      </c>
      <c r="AN132" s="48">
        <f aca="true" t="shared" si="10" ref="AN132:AS134">IF(AH132="",0,AH132)</f>
        <v>21</v>
      </c>
      <c r="AO132" s="49">
        <f t="shared" si="10"/>
        <v>6</v>
      </c>
      <c r="AP132" s="50">
        <f t="shared" si="10"/>
        <v>21</v>
      </c>
      <c r="AQ132" s="49">
        <f t="shared" si="10"/>
        <v>9</v>
      </c>
      <c r="AR132" s="50">
        <f t="shared" si="10"/>
        <v>0</v>
      </c>
      <c r="AS132" s="49">
        <f t="shared" si="10"/>
        <v>0</v>
      </c>
      <c r="AT132" s="51">
        <f>SUM(AN132:AS132)</f>
        <v>57</v>
      </c>
      <c r="AU132" s="52">
        <v>1</v>
      </c>
      <c r="AV132" s="53"/>
      <c r="AW132" s="54"/>
      <c r="AX132" s="47">
        <f>IF(AH134&gt;AI134,1,0)+IF(AJ134&gt;AK134,1,0)+IF(AL134&gt;AM134,1,0)</f>
        <v>1</v>
      </c>
      <c r="AY132" s="47">
        <f>AV133</f>
        <v>2</v>
      </c>
      <c r="AZ132" s="47">
        <f>IF(AH132&gt;AI132,1,0)+IF(AJ132&gt;AK132,1,0)+IF(AL132&gt;AM132,1,0)</f>
        <v>2</v>
      </c>
      <c r="BA132" s="55">
        <f>AV134</f>
        <v>0</v>
      </c>
      <c r="BD132" s="46">
        <f>AN132+AP132+AR132+AN134+AP134+AR134</f>
        <v>100</v>
      </c>
      <c r="BE132" s="55">
        <f>AO132+AQ132+AS132+AO134+AQ134+AS134</f>
        <v>77</v>
      </c>
      <c r="BF132" s="46">
        <f>AX132+AZ132</f>
        <v>3</v>
      </c>
      <c r="BG132" s="55">
        <f>AY132+BA132</f>
        <v>2</v>
      </c>
      <c r="BH132" s="46">
        <f>IF(AX132&gt;AY132,1,0)+IF(AZ132&gt;BA132,1,0)</f>
        <v>1</v>
      </c>
      <c r="BI132" s="56">
        <f>IF(AY132&gt;AX132,1,0)+IF(BA132&gt;AZ132,1,0)</f>
        <v>1</v>
      </c>
      <c r="BJ132" s="57">
        <f>IF(BH132+BI132=0,"",IF(BK132=MAX(BK132:BK134),1,IF(BK132=MIN(BK132:BK134),3,2)))</f>
        <v>2</v>
      </c>
      <c r="BK132" s="13">
        <f>IF(BH132+BI132&lt;&gt;0,BH132-BI132+(BF132-BG132)/100+(BD132-BE132)/10000,-2)</f>
        <v>0.0123</v>
      </c>
    </row>
    <row r="133" spans="1:63" ht="11.25" customHeight="1">
      <c r="A133" s="12">
        <f>S133</f>
        <v>39</v>
      </c>
      <c r="B133" s="2" t="str">
        <f>IF(N133="","",N133)</f>
        <v>S0020</v>
      </c>
      <c r="C133" s="2">
        <f>IF(N134="","",N134)</f>
      </c>
      <c r="D133" s="2" t="str">
        <f>IF(N136="","",N136)</f>
        <v>O0004</v>
      </c>
      <c r="E133" s="2">
        <f>IF(N137="","",N137)</f>
      </c>
      <c r="J133" s="29"/>
      <c r="K133" s="12"/>
      <c r="M133" s="39" t="str">
        <f>N129</f>
        <v>Runners Up</v>
      </c>
      <c r="N133" s="30" t="s">
        <v>61</v>
      </c>
      <c r="O133" s="31">
        <f>IF(O128&gt;0,(O128&amp;2)*1,"")</f>
        <v>22</v>
      </c>
      <c r="Q133" s="40">
        <f>IF(AT133&gt;0,"",IF(A133=0,"",IF(VLOOKUP(A133,'[1]plan gier'!A:S,19,FALSE)="","",VLOOKUP(A133,'[1]plan gier'!A:S,19,FALSE))))</f>
      </c>
      <c r="R133" s="41" t="s">
        <v>17</v>
      </c>
      <c r="S133" s="42">
        <v>39</v>
      </c>
      <c r="T133" s="260"/>
      <c r="U133" s="271" t="str">
        <f>IF(AND(N133&lt;&gt;"",N134=""),CONCATENATE(VLOOKUP(N133,'[1]zawodnicy'!$A:$E,1,FALSE)," ",VLOOKUP(N133,'[1]zawodnicy'!$A:$E,2,FALSE)," ",VLOOKUP(N133,'[1]zawodnicy'!$A:$E,3,FALSE)," - ",VLOOKUP(N133,'[1]zawodnicy'!$A:$E,4,FALSE)),"")</f>
        <v>S0020 Mariusz SŁOMBA - Mielec</v>
      </c>
      <c r="V133" s="272"/>
      <c r="W133" s="58" t="str">
        <f>IF(SUM(AP134:AQ134)=0,"",AQ134&amp;":"&amp;AP134)</f>
        <v>20:22</v>
      </c>
      <c r="X133" s="59"/>
      <c r="Y133" s="34" t="str">
        <f>IF(SUM(AP133:AQ133)=0,"",AP133&amp;":"&amp;AQ133)</f>
        <v>21:11</v>
      </c>
      <c r="Z133" s="260"/>
      <c r="AA133" s="265"/>
      <c r="AB133" s="265"/>
      <c r="AC133" s="268"/>
      <c r="AD133" s="2"/>
      <c r="AE133" s="22"/>
      <c r="AF133" s="22"/>
      <c r="AG133" s="41" t="s">
        <v>17</v>
      </c>
      <c r="AH133" s="60">
        <f>IF(ISBLANK(S133),"",VLOOKUP(S133,'[1]plan gier'!$X:$AN,12,FALSE))</f>
        <v>21</v>
      </c>
      <c r="AI133" s="61">
        <f>IF(ISBLANK(S133),"",VLOOKUP(S133,'[1]plan gier'!$X:$AN,13,FALSE))</f>
        <v>8</v>
      </c>
      <c r="AJ133" s="61">
        <f>IF(ISBLANK(S133),"",VLOOKUP(S133,'[1]plan gier'!$X:$AN,14,FALSE))</f>
        <v>21</v>
      </c>
      <c r="AK133" s="61">
        <f>IF(ISBLANK(S133),"",VLOOKUP(S133,'[1]plan gier'!$X:$AN,15,FALSE))</f>
        <v>11</v>
      </c>
      <c r="AL133" s="61">
        <f>IF(ISBLANK(S133),"",VLOOKUP(S133,'[1]plan gier'!$X:$AN,16,FALSE))</f>
        <v>0</v>
      </c>
      <c r="AM133" s="61">
        <f>IF(ISBLANK(S133),"",VLOOKUP(S133,'[1]plan gier'!$X:$AN,17,FALSE))</f>
        <v>0</v>
      </c>
      <c r="AN133" s="62">
        <f t="shared" si="10"/>
        <v>21</v>
      </c>
      <c r="AO133" s="61">
        <f t="shared" si="10"/>
        <v>8</v>
      </c>
      <c r="AP133" s="63">
        <f t="shared" si="10"/>
        <v>21</v>
      </c>
      <c r="AQ133" s="61">
        <f t="shared" si="10"/>
        <v>11</v>
      </c>
      <c r="AR133" s="63">
        <f t="shared" si="10"/>
        <v>0</v>
      </c>
      <c r="AS133" s="61">
        <f t="shared" si="10"/>
        <v>0</v>
      </c>
      <c r="AT133" s="51">
        <f>SUM(AN133:AS133)</f>
        <v>61</v>
      </c>
      <c r="AU133" s="52">
        <v>2</v>
      </c>
      <c r="AV133" s="60">
        <f>IF(AH134&lt;AI134,1,0)+IF(AJ134&lt;AK134,1,0)+IF(AL134&lt;AM134,1,0)</f>
        <v>2</v>
      </c>
      <c r="AW133" s="61">
        <f>AX132</f>
        <v>1</v>
      </c>
      <c r="AX133" s="64"/>
      <c r="AY133" s="65"/>
      <c r="AZ133" s="61">
        <f>IF(AH133&gt;AI133,1,0)+IF(AJ133&gt;AK133,1,0)+IF(AL133&gt;AM133,1,0)</f>
        <v>2</v>
      </c>
      <c r="BA133" s="66">
        <f>AX134</f>
        <v>0</v>
      </c>
      <c r="BD133" s="60">
        <f>AN133+AP133+AR133+AO134+AQ134+AS134</f>
        <v>104</v>
      </c>
      <c r="BE133" s="66">
        <f>AO133+AQ133+AS133+AN134+AP134+AR134</f>
        <v>77</v>
      </c>
      <c r="BF133" s="60">
        <f>AV133+AZ133</f>
        <v>4</v>
      </c>
      <c r="BG133" s="66">
        <f>AW133+BA133</f>
        <v>1</v>
      </c>
      <c r="BH133" s="60">
        <f>IF(AV133&gt;AW133,1,0)+IF(AZ133&gt;BA133,1,0)</f>
        <v>2</v>
      </c>
      <c r="BI133" s="67">
        <f>IF(AW133&gt;AV133,1,0)+IF(BA133&gt;AZ133,1,0)</f>
        <v>0</v>
      </c>
      <c r="BJ133" s="68">
        <f>IF(BH133+BI133=0,"",IF(BK133=MAX(BK132:BK134),1,IF(BK133=MIN(BK132:BK134),3,2)))</f>
        <v>1</v>
      </c>
      <c r="BK133" s="13">
        <f>IF(BH133+BI133&lt;&gt;0,BH133-BI133+(BF133-BG133)/100+(BD133-BE133)/10000,-2)</f>
        <v>2.0326999999999997</v>
      </c>
    </row>
    <row r="134" spans="1:63" ht="11.25" customHeight="1" thickBot="1">
      <c r="A134" s="12">
        <f>S134</f>
        <v>44</v>
      </c>
      <c r="B134" s="2" t="str">
        <f>IF(N130="","",N130)</f>
        <v>K0012</v>
      </c>
      <c r="C134" s="2">
        <f>IF(N131="","",N131)</f>
      </c>
      <c r="D134" s="2" t="str">
        <f>IF(N133="","",N133)</f>
        <v>S0020</v>
      </c>
      <c r="E134" s="2">
        <f>IF(N134="","",N134)</f>
      </c>
      <c r="I134" s="2" t="str">
        <f>"3"&amp;O128&amp;N129</f>
        <v>32Runners Up</v>
      </c>
      <c r="J134" s="29" t="str">
        <f>IF(AC135="","",IF(AC129=3,N130,IF(AC132=3,N133,IF(AC135=3,N136,""))))</f>
        <v>O0004</v>
      </c>
      <c r="K134" s="29">
        <f>IF(AC135="","",IF(AC129=3,N131,IF(AC132=3,N134,IF(AC135=3,N137,""))))</f>
        <v>0</v>
      </c>
      <c r="M134" s="39" t="str">
        <f>N129</f>
        <v>Runners Up</v>
      </c>
      <c r="N134" s="35"/>
      <c r="O134" s="23"/>
      <c r="P134" s="23"/>
      <c r="Q134" s="40">
        <f>IF(AT134&gt;0,"",IF(A134=0,"",IF(VLOOKUP(A134,'[1]plan gier'!A:S,19,FALSE)="","",VLOOKUP(A134,'[1]plan gier'!A:S,19,FALSE))))</f>
      </c>
      <c r="R134" s="69" t="s">
        <v>18</v>
      </c>
      <c r="S134" s="42">
        <v>44</v>
      </c>
      <c r="T134" s="261"/>
      <c r="U134" s="273">
        <f>IF(N134&lt;&gt;"",CONCATENATE(VLOOKUP(N134,'[1]zawodnicy'!$A:$E,1,FALSE)," ",VLOOKUP(N134,'[1]zawodnicy'!$A:$E,2,FALSE)," ",VLOOKUP(N134,'[1]zawodnicy'!$A:$E,3,FALSE)," - ",VLOOKUP(N134,'[1]zawodnicy'!$A:$E,4,FALSE)),"")</f>
      </c>
      <c r="V134" s="274"/>
      <c r="W134" s="70" t="str">
        <f>IF(SUM(AR134:AS134)=0,"",AS134&amp;":"&amp;AR134)</f>
        <v>21:17</v>
      </c>
      <c r="X134" s="59"/>
      <c r="Y134" s="37">
        <f>IF(SUM(AR133:AS133)=0,"",AR133&amp;":"&amp;AS133)</f>
      </c>
      <c r="Z134" s="261"/>
      <c r="AA134" s="266"/>
      <c r="AB134" s="266"/>
      <c r="AC134" s="269"/>
      <c r="AD134" s="2"/>
      <c r="AE134" s="22"/>
      <c r="AF134" s="22"/>
      <c r="AG134" s="69" t="s">
        <v>18</v>
      </c>
      <c r="AH134" s="71">
        <f>IF(ISBLANK(S134),"",VLOOKUP(S134,'[1]plan gier'!$X:$AN,12,FALSE))</f>
        <v>19</v>
      </c>
      <c r="AI134" s="72">
        <f>IF(ISBLANK(S134),"",VLOOKUP(S134,'[1]plan gier'!$X:$AN,13,FALSE))</f>
        <v>21</v>
      </c>
      <c r="AJ134" s="72">
        <f>IF(ISBLANK(S134),"",VLOOKUP(S134,'[1]plan gier'!$X:$AN,14,FALSE))</f>
        <v>22</v>
      </c>
      <c r="AK134" s="72">
        <f>IF(ISBLANK(S134),"",VLOOKUP(S134,'[1]plan gier'!$X:$AN,15,FALSE))</f>
        <v>20</v>
      </c>
      <c r="AL134" s="72">
        <f>IF(ISBLANK(S134),"",VLOOKUP(S134,'[1]plan gier'!$X:$AN,16,FALSE))</f>
        <v>17</v>
      </c>
      <c r="AM134" s="72">
        <f>IF(ISBLANK(S134),"",VLOOKUP(S134,'[1]plan gier'!$X:$AN,17,FALSE))</f>
        <v>21</v>
      </c>
      <c r="AN134" s="73">
        <f t="shared" si="10"/>
        <v>19</v>
      </c>
      <c r="AO134" s="72">
        <f t="shared" si="10"/>
        <v>21</v>
      </c>
      <c r="AP134" s="74">
        <f t="shared" si="10"/>
        <v>22</v>
      </c>
      <c r="AQ134" s="72">
        <f t="shared" si="10"/>
        <v>20</v>
      </c>
      <c r="AR134" s="74">
        <f t="shared" si="10"/>
        <v>17</v>
      </c>
      <c r="AS134" s="72">
        <f t="shared" si="10"/>
        <v>21</v>
      </c>
      <c r="AT134" s="51">
        <f>SUM(AN134:AS134)</f>
        <v>120</v>
      </c>
      <c r="AU134" s="52">
        <v>3</v>
      </c>
      <c r="AV134" s="71">
        <f>IF(AH132&lt;AI132,1,0)+IF(AJ132&lt;AK132,1,0)+IF(AL132&lt;AM132,1,0)</f>
        <v>0</v>
      </c>
      <c r="AW134" s="72">
        <f>AZ132</f>
        <v>2</v>
      </c>
      <c r="AX134" s="72">
        <f>IF(AH133&lt;AI133,1,0)+IF(AJ133&lt;AK133,1,0)+IF(AL133&lt;AM133,1,0)</f>
        <v>0</v>
      </c>
      <c r="AY134" s="72">
        <f>AZ133</f>
        <v>2</v>
      </c>
      <c r="AZ134" s="75"/>
      <c r="BA134" s="76"/>
      <c r="BD134" s="71">
        <f>AO132+AQ132+AS132+AO133+AQ133+AS133</f>
        <v>34</v>
      </c>
      <c r="BE134" s="77">
        <f>AN132+AP132+AR132+AN133+AP133+AR133</f>
        <v>84</v>
      </c>
      <c r="BF134" s="71">
        <f>AV134+AX134</f>
        <v>0</v>
      </c>
      <c r="BG134" s="77">
        <f>AW134+AY134</f>
        <v>4</v>
      </c>
      <c r="BH134" s="71">
        <f>IF(AV134&gt;AW134,1,0)+IF(AX134&gt;AY134,1,0)</f>
        <v>0</v>
      </c>
      <c r="BI134" s="78">
        <f>IF(AW134&gt;AV134,1,0)+IF(AY134&gt;AX134,1,0)</f>
        <v>2</v>
      </c>
      <c r="BJ134" s="79">
        <f>IF(BH134+BI134=0,"",IF(BK134=MAX(BK132:BK134),1,IF(BK134=MIN(BK132:BK134),3,2)))</f>
        <v>3</v>
      </c>
      <c r="BK134" s="13">
        <f>IF(BH134+BI134&lt;&gt;0,BH134-BI134+(BF134-BG134)/100+(BD134-BE134)/10000,-2)</f>
        <v>-2.045</v>
      </c>
    </row>
    <row r="135" spans="1:59" ht="11.25" customHeight="1">
      <c r="A135" s="2"/>
      <c r="J135" s="23"/>
      <c r="K135" s="23"/>
      <c r="L135" s="23"/>
      <c r="O135" s="23"/>
      <c r="P135" s="23"/>
      <c r="Q135" s="2"/>
      <c r="R135" s="2"/>
      <c r="S135" s="2"/>
      <c r="T135" s="279">
        <v>3</v>
      </c>
      <c r="U135" s="280">
        <f>IF(AND(N136&lt;&gt;"",N137&lt;&gt;""),CONCATENATE(VLOOKUP(N136,'[1]zawodnicy'!$A:$E,1,FALSE)," ",VLOOKUP(N136,'[1]zawodnicy'!$A:$E,2,FALSE)," ",VLOOKUP(N136,'[1]zawodnicy'!$A:$E,3,FALSE)," - ",VLOOKUP(N136,'[1]zawodnicy'!$A:$E,4,FALSE)),"")</f>
      </c>
      <c r="V135" s="281"/>
      <c r="W135" s="43" t="str">
        <f>IF(SUM(AN132:AO132)=0,"",AO132&amp;":"&amp;AN132)</f>
        <v>6:21</v>
      </c>
      <c r="X135" s="80" t="str">
        <f>IF(SUM(AN133:AO133)=0,"",AO133&amp;":"&amp;AN133)</f>
        <v>8:21</v>
      </c>
      <c r="Y135" s="81"/>
      <c r="Z135" s="279" t="str">
        <f>IF(SUM(AV134:AY134)=0,"",BD134&amp;":"&amp;BE134)</f>
        <v>34:84</v>
      </c>
      <c r="AA135" s="282" t="str">
        <f>IF(SUM(AV134:AY134)=0,"",BF134&amp;":"&amp;BG134)</f>
        <v>0:4</v>
      </c>
      <c r="AB135" s="282" t="str">
        <f>IF(SUM(AV134:AY134)=0,"",BH134&amp;":"&amp;BI134)</f>
        <v>0:2</v>
      </c>
      <c r="AC135" s="283">
        <f>IF(SUM(BH132:BH134)&gt;0,BJ134,"")</f>
        <v>3</v>
      </c>
      <c r="AD135" s="2"/>
      <c r="AE135" s="22"/>
      <c r="AF135" s="22"/>
      <c r="BD135" s="12">
        <f>SUM(BD132:BD134)</f>
        <v>238</v>
      </c>
      <c r="BE135" s="12">
        <f>SUM(BE132:BE134)</f>
        <v>238</v>
      </c>
      <c r="BF135" s="12">
        <f>SUM(BF132:BF134)</f>
        <v>7</v>
      </c>
      <c r="BG135" s="12">
        <f>SUM(BG132:BG134)</f>
        <v>7</v>
      </c>
    </row>
    <row r="136" spans="1:63" ht="11.25" customHeight="1">
      <c r="A136" s="12"/>
      <c r="J136" s="12"/>
      <c r="K136" s="12"/>
      <c r="L136" s="12"/>
      <c r="N136" s="30" t="s">
        <v>62</v>
      </c>
      <c r="O136" s="31">
        <f>IF(O128&gt;0,(O128&amp;3)*1,"")</f>
        <v>23</v>
      </c>
      <c r="Q136" s="82"/>
      <c r="R136" s="82"/>
      <c r="S136" s="42"/>
      <c r="T136" s="260"/>
      <c r="U136" s="271" t="str">
        <f>IF(AND(N136&lt;&gt;"",N137=""),CONCATENATE(VLOOKUP(N136,'[1]zawodnicy'!$A:$E,1,FALSE)," ",VLOOKUP(N136,'[1]zawodnicy'!$A:$E,2,FALSE)," ",VLOOKUP(N136,'[1]zawodnicy'!$A:$E,3,FALSE)," - ",VLOOKUP(N136,'[1]zawodnicy'!$A:$E,4,FALSE)),"")</f>
        <v>O0004 Krzysztof ORZECHOWICZ - Tarnowiec</v>
      </c>
      <c r="V136" s="272"/>
      <c r="W136" s="58" t="str">
        <f>IF(SUM(AP132:AQ132)=0,"",AQ132&amp;":"&amp;AP132)</f>
        <v>9:21</v>
      </c>
      <c r="X136" s="33" t="str">
        <f>IF(SUM(AP133:AQ133)=0,"",AQ133&amp;":"&amp;AP133)</f>
        <v>11:21</v>
      </c>
      <c r="Y136" s="83"/>
      <c r="Z136" s="260"/>
      <c r="AA136" s="265"/>
      <c r="AB136" s="265"/>
      <c r="AC136" s="268"/>
      <c r="AD136" s="2"/>
      <c r="AE136" s="22"/>
      <c r="AF136" s="2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1:63" ht="11.25" customHeight="1" thickBot="1">
      <c r="A137" s="2"/>
      <c r="J137" s="23"/>
      <c r="K137" s="23"/>
      <c r="L137" s="23"/>
      <c r="N137" s="35"/>
      <c r="O137" s="23"/>
      <c r="P137" s="23"/>
      <c r="Q137" s="2"/>
      <c r="R137" s="2"/>
      <c r="S137" s="2"/>
      <c r="T137" s="284"/>
      <c r="U137" s="287">
        <f>IF(N137&lt;&gt;"",CONCATENATE(VLOOKUP(N137,'[1]zawodnicy'!$A:$E,1,FALSE)," ",VLOOKUP(N137,'[1]zawodnicy'!$A:$E,2,FALSE)," ",VLOOKUP(N137,'[1]zawodnicy'!$A:$E,3,FALSE)," - ",VLOOKUP(N137,'[1]zawodnicy'!$A:$E,4,FALSE)),"")</f>
      </c>
      <c r="V137" s="288"/>
      <c r="W137" s="84">
        <f>IF(SUM(AR132:AS132)=0,"",AS132&amp;":"&amp;AR132)</f>
      </c>
      <c r="X137" s="85">
        <f>IF(SUM(AR133:AS133)=0,"",AS133&amp;":"&amp;AR133)</f>
      </c>
      <c r="Y137" s="86"/>
      <c r="Z137" s="284"/>
      <c r="AA137" s="285"/>
      <c r="AB137" s="285"/>
      <c r="AC137" s="286"/>
      <c r="AD137" s="29"/>
      <c r="AE137" s="22"/>
      <c r="AF137" s="2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ht="11.25" customHeight="1" thickBot="1"/>
    <row r="139" spans="14:45" ht="11.25" customHeight="1" thickBot="1">
      <c r="N139" s="120"/>
      <c r="O139" s="14">
        <v>3</v>
      </c>
      <c r="Q139" s="253" t="str">
        <f>"Grupa "&amp;O139&amp;"."</f>
        <v>Grupa 3.</v>
      </c>
      <c r="R139" s="253"/>
      <c r="S139" s="308"/>
      <c r="T139" s="15" t="s">
        <v>1</v>
      </c>
      <c r="U139" s="255" t="s">
        <v>2</v>
      </c>
      <c r="V139" s="309"/>
      <c r="W139" s="15">
        <v>1</v>
      </c>
      <c r="X139" s="121">
        <v>2</v>
      </c>
      <c r="Y139" s="17">
        <v>3</v>
      </c>
      <c r="Z139" s="16">
        <v>4</v>
      </c>
      <c r="AA139" s="122" t="s">
        <v>3</v>
      </c>
      <c r="AB139" s="123" t="s">
        <v>4</v>
      </c>
      <c r="AC139" s="20" t="s">
        <v>5</v>
      </c>
      <c r="AD139" s="124" t="s">
        <v>6</v>
      </c>
      <c r="AE139" s="22"/>
      <c r="AF139" s="22"/>
      <c r="AH139" s="270" t="s">
        <v>9</v>
      </c>
      <c r="AI139" s="270"/>
      <c r="AJ139" s="270"/>
      <c r="AK139" s="270"/>
      <c r="AL139" s="270"/>
      <c r="AM139" s="270"/>
      <c r="AN139" s="270" t="s">
        <v>10</v>
      </c>
      <c r="AO139" s="270"/>
      <c r="AP139" s="270"/>
      <c r="AQ139" s="270"/>
      <c r="AR139" s="270"/>
      <c r="AS139" s="270"/>
    </row>
    <row r="140" spans="14:32" ht="11.25" customHeight="1">
      <c r="N140" s="24" t="s">
        <v>52</v>
      </c>
      <c r="Q140" s="257" t="s">
        <v>7</v>
      </c>
      <c r="R140" s="257"/>
      <c r="S140" s="310" t="s">
        <v>8</v>
      </c>
      <c r="T140" s="260">
        <v>1</v>
      </c>
      <c r="U140" s="271">
        <f>IF(AND(N141&lt;&gt;"",N142&lt;&gt;""),CONCATENATE(VLOOKUP(N141,'[1]zawodnicy'!$A:$E,1,FALSE)," ",VLOOKUP(N141,'[1]zawodnicy'!$A:$E,2,FALSE)," ",VLOOKUP(N141,'[1]zawodnicy'!$A:$E,3,FALSE)," - ",VLOOKUP(N141,'[1]zawodnicy'!$A:$E,4,FALSE)),"")</f>
      </c>
      <c r="V140" s="311"/>
      <c r="W140" s="32"/>
      <c r="X140" s="33" t="str">
        <f>IF(SUM(AN148:AO148)=0,"",AN148&amp;":"&amp;AO148)</f>
        <v>21:6</v>
      </c>
      <c r="Y140" s="33" t="str">
        <f>IF(SUM(AN143:AO143)=0,"",AN143&amp;":"&amp;AO143)</f>
        <v>21:2</v>
      </c>
      <c r="Z140" s="125" t="str">
        <f>IF(SUM(AN145:AO145)=0,"",AN145&amp;":"&amp;AO145)</f>
        <v>19:21</v>
      </c>
      <c r="AA140" s="260" t="str">
        <f>IF(SUM(AX143:BC143)=0,"",BD143&amp;":"&amp;BE143)</f>
        <v>145:82</v>
      </c>
      <c r="AB140" s="265" t="str">
        <f>IF(SUM(AX143:BC143)=0,"",BF143&amp;":"&amp;BG143)</f>
        <v>6:1</v>
      </c>
      <c r="AC140" s="265" t="str">
        <f>IF(SUM(AX143:BC143)=0,"",BH143&amp;":"&amp;BI143)</f>
        <v>3:0</v>
      </c>
      <c r="AD140" s="268">
        <f>IF(SUM(BH143:BH146)&gt;0,BJ143,"")</f>
        <v>1</v>
      </c>
      <c r="AE140" s="22"/>
      <c r="AF140" s="22"/>
    </row>
    <row r="141" spans="8:32" ht="11.25" customHeight="1" thickBot="1">
      <c r="H141" s="29"/>
      <c r="I141" s="2" t="str">
        <f>"1"&amp;O139&amp;N140</f>
        <v>13Runners Up</v>
      </c>
      <c r="J141" s="29" t="str">
        <f>IF(AD140="","",IF(AD140=1,N141,IF(AD143=1,N144,IF(AD146=1,N147,IF(AD149=1,N150,"")))))</f>
        <v>M0008</v>
      </c>
      <c r="K141" s="29">
        <f>IF(AD140="","",IF(AD140=1,N142,IF(AD143=1,N145,IF(AD146=1,N148,IF(AD149=1,N151,"")))))</f>
        <v>0</v>
      </c>
      <c r="L141" s="29"/>
      <c r="N141" s="30" t="s">
        <v>63</v>
      </c>
      <c r="O141" s="31">
        <f>IF(O139&gt;0,(O139&amp;1)*1,"")</f>
        <v>31</v>
      </c>
      <c r="Q141" s="257"/>
      <c r="R141" s="257"/>
      <c r="S141" s="310"/>
      <c r="T141" s="260"/>
      <c r="U141" s="271" t="str">
        <f>IF(AND(N141&lt;&gt;"",N142=""),CONCATENATE(VLOOKUP(N141,'[1]zawodnicy'!$A:$E,1,FALSE)," ",VLOOKUP(N141,'[1]zawodnicy'!$A:$E,2,FALSE)," ",VLOOKUP(N141,'[1]zawodnicy'!$A:$E,3,FALSE)," - ",VLOOKUP(N141,'[1]zawodnicy'!$A:$E,4,FALSE)),"")</f>
        <v>M0008 Tadeusz MICHALIK - Tarnów</v>
      </c>
      <c r="V141" s="311"/>
      <c r="W141" s="32"/>
      <c r="X141" s="33" t="str">
        <f>IF(SUM(AP148:AQ148)=0,"",AP148&amp;":"&amp;AQ148)</f>
        <v>21:10</v>
      </c>
      <c r="Y141" s="33" t="str">
        <f>IF(SUM(AP143:AQ143)=0,"",AP143&amp;":"&amp;AQ143)</f>
        <v>21:14</v>
      </c>
      <c r="Z141" s="125" t="str">
        <f>IF(SUM(AP145:AQ145)=0,"",AP145&amp;":"&amp;AQ145)</f>
        <v>21:11</v>
      </c>
      <c r="AA141" s="260"/>
      <c r="AB141" s="265"/>
      <c r="AC141" s="265"/>
      <c r="AD141" s="268"/>
      <c r="AE141" s="22"/>
      <c r="AF141" s="22"/>
    </row>
    <row r="142" spans="10:62" ht="11.25" customHeight="1" thickBot="1">
      <c r="J142" s="29"/>
      <c r="K142" s="23"/>
      <c r="L142" s="23"/>
      <c r="N142" s="35"/>
      <c r="O142" s="23"/>
      <c r="P142" s="23"/>
      <c r="Q142" s="257"/>
      <c r="R142" s="257"/>
      <c r="S142" s="310"/>
      <c r="T142" s="261"/>
      <c r="U142" s="273">
        <f>IF(N142&lt;&gt;"",CONCATENATE(VLOOKUP(N142,'[1]zawodnicy'!$A:$E,1,FALSE)," ",VLOOKUP(N142,'[1]zawodnicy'!$A:$E,2,FALSE)," ",VLOOKUP(N142,'[1]zawodnicy'!$A:$E,3,FALSE)," - ",VLOOKUP(N142,'[1]zawodnicy'!$A:$E,4,FALSE)),"")</f>
      </c>
      <c r="V142" s="312"/>
      <c r="W142" s="32"/>
      <c r="X142" s="36">
        <f>IF(SUM(AR148:AS148)=0,"",AR148&amp;":"&amp;AS148)</f>
      </c>
      <c r="Y142" s="36">
        <f>IF(SUM(AR143:AS143)=0,"",AR143&amp;":"&amp;AS143)</f>
      </c>
      <c r="Z142" s="126" t="str">
        <f>IF(SUM(AR145:AS145)=0,"",AR145&amp;":"&amp;AS145)</f>
        <v>21:18</v>
      </c>
      <c r="AA142" s="260"/>
      <c r="AB142" s="265"/>
      <c r="AC142" s="265"/>
      <c r="AD142" s="268"/>
      <c r="AE142" s="22"/>
      <c r="AF142" s="22"/>
      <c r="AH142" s="313" t="s">
        <v>12</v>
      </c>
      <c r="AI142" s="314"/>
      <c r="AJ142" s="314" t="s">
        <v>13</v>
      </c>
      <c r="AK142" s="314"/>
      <c r="AL142" s="314" t="s">
        <v>14</v>
      </c>
      <c r="AM142" s="314"/>
      <c r="AN142" s="313" t="s">
        <v>12</v>
      </c>
      <c r="AO142" s="314"/>
      <c r="AP142" s="314" t="s">
        <v>13</v>
      </c>
      <c r="AQ142" s="314"/>
      <c r="AR142" s="314" t="s">
        <v>14</v>
      </c>
      <c r="AS142" s="315"/>
      <c r="AV142" s="313">
        <v>1</v>
      </c>
      <c r="AW142" s="314"/>
      <c r="AX142" s="314">
        <v>2</v>
      </c>
      <c r="AY142" s="314"/>
      <c r="AZ142" s="314">
        <v>3</v>
      </c>
      <c r="BA142" s="314"/>
      <c r="BB142" s="314">
        <v>4</v>
      </c>
      <c r="BC142" s="315"/>
      <c r="BD142" s="313" t="s">
        <v>3</v>
      </c>
      <c r="BE142" s="315"/>
      <c r="BF142" s="313" t="s">
        <v>4</v>
      </c>
      <c r="BG142" s="315"/>
      <c r="BH142" s="313" t="s">
        <v>5</v>
      </c>
      <c r="BI142" s="277"/>
      <c r="BJ142" s="38" t="s">
        <v>6</v>
      </c>
    </row>
    <row r="143" spans="1:63" ht="11.25" customHeight="1">
      <c r="A143" s="12">
        <f aca="true" t="shared" si="11" ref="A143:A148">S143</f>
        <v>35</v>
      </c>
      <c r="B143" s="12" t="str">
        <f>IF(N141="","",N141)</f>
        <v>M0008</v>
      </c>
      <c r="C143" s="12">
        <f>IF(N142="","",N142)</f>
      </c>
      <c r="D143" s="12" t="str">
        <f>IF(N147="","",N147)</f>
        <v>G0017</v>
      </c>
      <c r="E143" s="12">
        <f>IF(N148="","",N148)</f>
      </c>
      <c r="H143" s="29"/>
      <c r="I143" s="2" t="str">
        <f>"2"&amp;O139&amp;N140</f>
        <v>23Runners Up</v>
      </c>
      <c r="J143" s="29" t="str">
        <f>IF(AD143="","",IF(AD140=2,N141,IF(AD143=2,N144,IF(AD146=2,N147,IF(AD149=2,N150,"")))))</f>
        <v>S0040</v>
      </c>
      <c r="K143" s="29">
        <f>IF(AD143="","",IF(AD140=2,N142,IF(AD143=2,N145,IF(AD146=2,N148,IF(AD149=2,N151,"")))))</f>
        <v>0</v>
      </c>
      <c r="L143" s="29"/>
      <c r="M143" s="39" t="str">
        <f>N140</f>
        <v>Runners Up</v>
      </c>
      <c r="O143" s="23"/>
      <c r="P143" s="23"/>
      <c r="Q143" s="40">
        <f>IF(AT143&gt;0,"",IF(A143=0,"",IF(VLOOKUP(A143,'[1]plan gier'!A:S,19,FALSE)="","",VLOOKUP(A143,'[1]plan gier'!A:S,19,FALSE))))</f>
      </c>
      <c r="R143" s="41" t="s">
        <v>15</v>
      </c>
      <c r="S143" s="127">
        <v>35</v>
      </c>
      <c r="T143" s="279">
        <v>2</v>
      </c>
      <c r="U143" s="280">
        <f>IF(AND(N144&lt;&gt;"",N145&lt;&gt;""),CONCATENATE(VLOOKUP(N144,'[1]zawodnicy'!$A:$E,1,FALSE)," ",VLOOKUP(N144,'[1]zawodnicy'!$A:$E,2,FALSE)," ",VLOOKUP(N144,'[1]zawodnicy'!$A:$E,3,FALSE)," - ",VLOOKUP(N144,'[1]zawodnicy'!$A:$E,4,FALSE)),"")</f>
      </c>
      <c r="V143" s="316"/>
      <c r="W143" s="43" t="str">
        <f>IF(SUM(AN148:AO148)=0,"",AO148&amp;":"&amp;AN148)</f>
        <v>6:21</v>
      </c>
      <c r="X143" s="128"/>
      <c r="Y143" s="80" t="str">
        <f>IF(SUM(AN146:AO146)=0,"",AN146&amp;":"&amp;AO146)</f>
        <v>19:21</v>
      </c>
      <c r="Z143" s="45" t="str">
        <f>IF(SUM(AN144:AO144)=0,"",AN144&amp;":"&amp;AO144)</f>
        <v>11:21</v>
      </c>
      <c r="AA143" s="279" t="str">
        <f>IF(SUM(AV144:AW144,AZ144:BC144)=0,"",BD144&amp;":"&amp;BE144)</f>
        <v>76:126</v>
      </c>
      <c r="AB143" s="282" t="str">
        <f>IF(SUM(AV144:AW144,AZ144:BC144)=0,"",BF144&amp;":"&amp;BG144)</f>
        <v>0:6</v>
      </c>
      <c r="AC143" s="282" t="str">
        <f>IF(SUM(AV144:AW144,AZ144:BC144)=0,"",BH144&amp;":"&amp;BI144)</f>
        <v>0:3</v>
      </c>
      <c r="AD143" s="283">
        <f>IF(SUM(BH143:BH146)&gt;0,BJ144,"")</f>
        <v>4</v>
      </c>
      <c r="AE143" s="22"/>
      <c r="AF143" s="22"/>
      <c r="AG143" s="41" t="s">
        <v>15</v>
      </c>
      <c r="AH143" s="129">
        <f>IF(ISBLANK(S143),"",VLOOKUP(S143,'[1]plan gier'!$X:$AN,12,FALSE))</f>
        <v>21</v>
      </c>
      <c r="AI143" s="49">
        <f>IF(ISBLANK(S143),"",VLOOKUP(S143,'[1]plan gier'!$X:$AN,13,FALSE))</f>
        <v>2</v>
      </c>
      <c r="AJ143" s="49">
        <f>IF(ISBLANK(S143),"",VLOOKUP(S143,'[1]plan gier'!$X:$AN,14,FALSE))</f>
        <v>21</v>
      </c>
      <c r="AK143" s="49">
        <f>IF(ISBLANK(S143),"",VLOOKUP(S143,'[1]plan gier'!$X:$AN,15,FALSE))</f>
        <v>14</v>
      </c>
      <c r="AL143" s="49">
        <f>IF(ISBLANK(S143),"",VLOOKUP(S143,'[1]plan gier'!$X:$AN,16,FALSE))</f>
        <v>0</v>
      </c>
      <c r="AM143" s="49">
        <f>IF(ISBLANK(S143),"",VLOOKUP(S143,'[1]plan gier'!$X:$AN,17,FALSE))</f>
        <v>0</v>
      </c>
      <c r="AN143" s="46">
        <f aca="true" t="shared" si="12" ref="AN143:AS148">IF(AH143="",0,AH143)</f>
        <v>21</v>
      </c>
      <c r="AO143" s="47">
        <f t="shared" si="12"/>
        <v>2</v>
      </c>
      <c r="AP143" s="47">
        <f t="shared" si="12"/>
        <v>21</v>
      </c>
      <c r="AQ143" s="47">
        <f t="shared" si="12"/>
        <v>14</v>
      </c>
      <c r="AR143" s="47">
        <f t="shared" si="12"/>
        <v>0</v>
      </c>
      <c r="AS143" s="55">
        <f t="shared" si="12"/>
        <v>0</v>
      </c>
      <c r="AT143" s="130">
        <f aca="true" t="shared" si="13" ref="AT143:AT148">SUM(AN143:AS143)</f>
        <v>58</v>
      </c>
      <c r="AU143" s="87">
        <v>1</v>
      </c>
      <c r="AV143" s="317"/>
      <c r="AW143" s="318"/>
      <c r="AX143" s="47">
        <f>IF(AH148&gt;AI148,1,0)+IF(AJ148&gt;AK148,1,0)+IF(AL148&gt;AM148,1,0)</f>
        <v>2</v>
      </c>
      <c r="AY143" s="47">
        <f>AV144</f>
        <v>0</v>
      </c>
      <c r="AZ143" s="47">
        <f>IF(AH143&gt;AI143,1,0)+IF(AJ143&gt;AK143,1,0)+IF(AL143&gt;AM143,1,0)</f>
        <v>2</v>
      </c>
      <c r="BA143" s="49">
        <f>AV145</f>
        <v>0</v>
      </c>
      <c r="BB143" s="131">
        <f>IF(AH145&gt;AI145,1,0)+IF(AJ145&gt;AK145,1,0)+IF(AL145&gt;AM145,1,0)</f>
        <v>2</v>
      </c>
      <c r="BC143" s="56">
        <f>AV146</f>
        <v>1</v>
      </c>
      <c r="BD143" s="129">
        <f>AN143+AP143+AR143+AN145+AP145+AR145+AN148+AP148+AR148</f>
        <v>145</v>
      </c>
      <c r="BE143" s="132">
        <f>AO143+AQ143+AS143+AO145+AQ145+AS145+AO148+AQ148+AS148</f>
        <v>82</v>
      </c>
      <c r="BF143" s="129">
        <f>AX143+AZ143+BB143</f>
        <v>6</v>
      </c>
      <c r="BG143" s="133">
        <f>AY143+BA143+BC143</f>
        <v>1</v>
      </c>
      <c r="BH143" s="129">
        <f>IF(AX143&gt;AY143,1,0)+IF(AZ143&gt;BA143,1,0)+IF(BB143&gt;BC143,1,0)</f>
        <v>3</v>
      </c>
      <c r="BI143" s="133">
        <f>IF(AY143&gt;AX143,1,0)+IF(BA143&gt;AZ143,1,0)+IF(BC143&gt;BB143,1,0)</f>
        <v>0</v>
      </c>
      <c r="BJ143" s="134">
        <f>IF(BH143+BI143=0,"",IF(BK143=MAX(BK143:BK146),1,IF(BK143=LARGE(BK143:BK146,2),2,IF(BK143=MIN(BK143:BK146),4,3))))</f>
        <v>1</v>
      </c>
      <c r="BK143" s="135">
        <f>IF(BH143+BI143&lt;&gt;0,BH143-BI143+(BF143-BG143)/100+(BD143-BE143)/10000,-3)</f>
        <v>3.0563</v>
      </c>
    </row>
    <row r="144" spans="1:63" ht="11.25" customHeight="1">
      <c r="A144" s="12">
        <f t="shared" si="11"/>
        <v>36</v>
      </c>
      <c r="B144" s="12" t="str">
        <f>IF(N144="","",N144)</f>
        <v>K0038</v>
      </c>
      <c r="C144" s="12">
        <f>IF(N145="","",N145)</f>
      </c>
      <c r="D144" s="12" t="str">
        <f>IF(N150="","",N150)</f>
        <v>S0040</v>
      </c>
      <c r="E144" s="12">
        <f>IF(N151="","",N151)</f>
      </c>
      <c r="J144" s="29"/>
      <c r="K144" s="12"/>
      <c r="L144" s="12"/>
      <c r="M144" s="39" t="str">
        <f>N140</f>
        <v>Runners Up</v>
      </c>
      <c r="N144" s="30" t="s">
        <v>64</v>
      </c>
      <c r="O144" s="31">
        <f>IF(O139&gt;0,(O139&amp;2)*1,"")</f>
        <v>32</v>
      </c>
      <c r="Q144" s="40">
        <f>IF(AT144&gt;0,"",IF(A144=0,"",IF(VLOOKUP(A144,'[1]plan gier'!A:S,19,FALSE)="","",VLOOKUP(A144,'[1]plan gier'!A:S,19,FALSE))))</f>
      </c>
      <c r="R144" s="41" t="s">
        <v>55</v>
      </c>
      <c r="S144" s="127">
        <v>36</v>
      </c>
      <c r="T144" s="260"/>
      <c r="U144" s="271" t="str">
        <f>IF(AND(N144&lt;&gt;"",N145=""),CONCATENATE(VLOOKUP(N144,'[1]zawodnicy'!$A:$E,1,FALSE)," ",VLOOKUP(N144,'[1]zawodnicy'!$A:$E,2,FALSE)," ",VLOOKUP(N144,'[1]zawodnicy'!$A:$E,3,FALSE)," - ",VLOOKUP(N144,'[1]zawodnicy'!$A:$E,4,FALSE)),"")</f>
        <v>K0038 Wojciech KWOLEK - Mielec</v>
      </c>
      <c r="V144" s="311"/>
      <c r="W144" s="58" t="str">
        <f>IF(SUM(AP148:AQ148)=0,"",AQ148&amp;":"&amp;AP148)</f>
        <v>10:21</v>
      </c>
      <c r="X144" s="136"/>
      <c r="Y144" s="33" t="str">
        <f>IF(SUM(AP146:AQ146)=0,"",AP146&amp;":"&amp;AQ146)</f>
        <v>14:21</v>
      </c>
      <c r="Z144" s="34" t="str">
        <f>IF(SUM(AP144:AQ144)=0,"",AP144&amp;":"&amp;AQ144)</f>
        <v>16:21</v>
      </c>
      <c r="AA144" s="260"/>
      <c r="AB144" s="265"/>
      <c r="AC144" s="265"/>
      <c r="AD144" s="268"/>
      <c r="AE144" s="22"/>
      <c r="AF144" s="22"/>
      <c r="AG144" s="41" t="s">
        <v>55</v>
      </c>
      <c r="AH144" s="46">
        <f>IF(ISBLANK(S144),"",VLOOKUP(S144,'[1]plan gier'!$X:$AN,12,FALSE))</f>
        <v>11</v>
      </c>
      <c r="AI144" s="47">
        <f>IF(ISBLANK(S144),"",VLOOKUP(S144,'[1]plan gier'!$X:$AN,13,FALSE))</f>
        <v>21</v>
      </c>
      <c r="AJ144" s="47">
        <f>IF(ISBLANK(S144),"",VLOOKUP(S144,'[1]plan gier'!$X:$AN,14,FALSE))</f>
        <v>16</v>
      </c>
      <c r="AK144" s="47">
        <f>IF(ISBLANK(S144),"",VLOOKUP(S144,'[1]plan gier'!$X:$AN,15,FALSE))</f>
        <v>21</v>
      </c>
      <c r="AL144" s="47">
        <f>IF(ISBLANK(S144),"",VLOOKUP(S144,'[1]plan gier'!$X:$AN,16,FALSE))</f>
        <v>0</v>
      </c>
      <c r="AM144" s="47">
        <f>IF(ISBLANK(S144),"",VLOOKUP(S144,'[1]plan gier'!$X:$AN,17,FALSE))</f>
        <v>0</v>
      </c>
      <c r="AN144" s="60">
        <f t="shared" si="12"/>
        <v>11</v>
      </c>
      <c r="AO144" s="61">
        <f t="shared" si="12"/>
        <v>21</v>
      </c>
      <c r="AP144" s="61">
        <f t="shared" si="12"/>
        <v>16</v>
      </c>
      <c r="AQ144" s="61">
        <f t="shared" si="12"/>
        <v>21</v>
      </c>
      <c r="AR144" s="61">
        <f t="shared" si="12"/>
        <v>0</v>
      </c>
      <c r="AS144" s="66">
        <f t="shared" si="12"/>
        <v>0</v>
      </c>
      <c r="AT144" s="130">
        <f t="shared" si="13"/>
        <v>69</v>
      </c>
      <c r="AU144" s="87">
        <v>2</v>
      </c>
      <c r="AV144" s="60">
        <f>IF(AH148&lt;AI148,1,0)+IF(AJ148&lt;AK148,1,0)+IF(AL148&lt;AM148,1,0)</f>
        <v>0</v>
      </c>
      <c r="AW144" s="61">
        <f>AX143</f>
        <v>2</v>
      </c>
      <c r="AX144" s="137"/>
      <c r="AY144" s="138"/>
      <c r="AZ144" s="61">
        <f>IF(AH146&gt;AI146,1,0)+IF(AJ146&gt;AK146,1,0)+IF(AL146&gt;AM146,1,0)</f>
        <v>0</v>
      </c>
      <c r="BA144" s="61">
        <f>AX145</f>
        <v>2</v>
      </c>
      <c r="BB144" s="139">
        <f>IF(AH144&gt;AI144,1,0)+IF(AJ144&gt;AK144,1,0)+IF(AL144&gt;AM144,1,0)</f>
        <v>0</v>
      </c>
      <c r="BC144" s="67">
        <f>AX146</f>
        <v>2</v>
      </c>
      <c r="BD144" s="60">
        <f>AN144+AP144+AR144+AN146+AP146+AR146+AO148+AQ148+AS148</f>
        <v>76</v>
      </c>
      <c r="BE144" s="67">
        <f>AO144+AQ144+AS144+AO146+AQ146+AS146+AN148+AP148+AR148</f>
        <v>126</v>
      </c>
      <c r="BF144" s="60">
        <f>AV144+AZ144+BB144</f>
        <v>0</v>
      </c>
      <c r="BG144" s="66">
        <f>AW144+BA144+BC144</f>
        <v>6</v>
      </c>
      <c r="BH144" s="60">
        <f>IF(AV144&gt;AW144,1,0)+IF(AZ144&gt;BA144,1,0)+IF(BB144&gt;BC144,1,0)</f>
        <v>0</v>
      </c>
      <c r="BI144" s="66">
        <f>IF(AW144&gt;AV144,1,0)+IF(BA144&gt;AZ144,1,0)+IF(BC144&gt;BB144,1,0)</f>
        <v>3</v>
      </c>
      <c r="BJ144" s="68">
        <f>IF(BH144+BI144=0,"",IF(BK144=MAX(BK143:BK146),1,IF(BK144=LARGE(BK143:BK146,2),2,IF(BK144=MIN(BK143:BK146),4,3))))</f>
        <v>4</v>
      </c>
      <c r="BK144" s="135">
        <f>IF(BH144+BI144&lt;&gt;0,BH144-BI144+(BF144-BG144)/100+(BD144-BE144)/10000,-3)</f>
        <v>-3.065</v>
      </c>
    </row>
    <row r="145" spans="1:63" ht="11.25" customHeight="1">
      <c r="A145" s="12">
        <f t="shared" si="11"/>
        <v>40</v>
      </c>
      <c r="B145" s="12" t="str">
        <f>IF(N141="","",N141)</f>
        <v>M0008</v>
      </c>
      <c r="C145" s="12">
        <f>IF(N142="","",N142)</f>
      </c>
      <c r="D145" s="12" t="str">
        <f>IF(N150="","",N150)</f>
        <v>S0040</v>
      </c>
      <c r="E145" s="12">
        <f>IF(N151="","",N151)</f>
      </c>
      <c r="H145" s="29"/>
      <c r="I145" s="2" t="str">
        <f>"3"&amp;O139&amp;N140</f>
        <v>33Runners Up</v>
      </c>
      <c r="J145" s="29" t="str">
        <f>IF(AD146="","",IF(AD140=3,N141,IF(AD143=3,N144,IF(AD146=3,N147,IF(AD149=3,N150,"")))))</f>
        <v>G0017</v>
      </c>
      <c r="K145" s="29">
        <f>IF(AD146="","",IF(AD140=3,N142,IF(AD143=3,N145,IF(AD146=3,N148,IF(AD149=3,N151,"")))))</f>
        <v>0</v>
      </c>
      <c r="L145" s="29"/>
      <c r="M145" s="39" t="str">
        <f>N140</f>
        <v>Runners Up</v>
      </c>
      <c r="N145" s="35"/>
      <c r="O145" s="23"/>
      <c r="P145" s="23"/>
      <c r="Q145" s="40">
        <f>IF(AT145&gt;0,"",IF(A145=0,"",IF(VLOOKUP(A145,'[1]plan gier'!A:S,19,FALSE)="","",VLOOKUP(A145,'[1]plan gier'!A:S,19,FALSE))))</f>
      </c>
      <c r="R145" s="41" t="s">
        <v>56</v>
      </c>
      <c r="S145" s="127">
        <v>40</v>
      </c>
      <c r="T145" s="261"/>
      <c r="U145" s="273">
        <f>IF(N145&lt;&gt;"",CONCATENATE(VLOOKUP(N145,'[1]zawodnicy'!$A:$E,1,FALSE)," ",VLOOKUP(N145,'[1]zawodnicy'!$A:$E,2,FALSE)," ",VLOOKUP(N145,'[1]zawodnicy'!$A:$E,3,FALSE)," - ",VLOOKUP(N145,'[1]zawodnicy'!$A:$E,4,FALSE)),"")</f>
      </c>
      <c r="V145" s="312"/>
      <c r="W145" s="70">
        <f>IF(SUM(AR148:AS148)=0,"",AS148&amp;":"&amp;AR148)</f>
      </c>
      <c r="X145" s="136"/>
      <c r="Y145" s="36">
        <f>IF(SUM(AR146:AS146)=0,"",AR146&amp;":"&amp;AS146)</f>
      </c>
      <c r="Z145" s="37">
        <f>IF(SUM(AR144:AS144)=0,"",AR144&amp;":"&amp;AS144)</f>
      </c>
      <c r="AA145" s="260"/>
      <c r="AB145" s="265"/>
      <c r="AC145" s="265"/>
      <c r="AD145" s="268"/>
      <c r="AE145" s="22"/>
      <c r="AF145" s="22"/>
      <c r="AG145" s="41" t="s">
        <v>56</v>
      </c>
      <c r="AH145" s="46">
        <f>IF(ISBLANK(S145),"",VLOOKUP(S145,'[1]plan gier'!$X:$AN,12,FALSE))</f>
        <v>19</v>
      </c>
      <c r="AI145" s="47">
        <f>IF(ISBLANK(S145),"",VLOOKUP(S145,'[1]plan gier'!$X:$AN,13,FALSE))</f>
        <v>21</v>
      </c>
      <c r="AJ145" s="47">
        <f>IF(ISBLANK(S145),"",VLOOKUP(S145,'[1]plan gier'!$X:$AN,14,FALSE))</f>
        <v>21</v>
      </c>
      <c r="AK145" s="47">
        <f>IF(ISBLANK(S145),"",VLOOKUP(S145,'[1]plan gier'!$X:$AN,15,FALSE))</f>
        <v>11</v>
      </c>
      <c r="AL145" s="47">
        <f>IF(ISBLANK(S145),"",VLOOKUP(S145,'[1]plan gier'!$X:$AN,16,FALSE))</f>
        <v>21</v>
      </c>
      <c r="AM145" s="47">
        <f>IF(ISBLANK(S145),"",VLOOKUP(S145,'[1]plan gier'!$X:$AN,17,FALSE))</f>
        <v>18</v>
      </c>
      <c r="AN145" s="60">
        <f t="shared" si="12"/>
        <v>19</v>
      </c>
      <c r="AO145" s="61">
        <f t="shared" si="12"/>
        <v>21</v>
      </c>
      <c r="AP145" s="61">
        <f t="shared" si="12"/>
        <v>21</v>
      </c>
      <c r="AQ145" s="61">
        <f t="shared" si="12"/>
        <v>11</v>
      </c>
      <c r="AR145" s="61">
        <f t="shared" si="12"/>
        <v>21</v>
      </c>
      <c r="AS145" s="66">
        <f t="shared" si="12"/>
        <v>18</v>
      </c>
      <c r="AT145" s="130">
        <f t="shared" si="13"/>
        <v>111</v>
      </c>
      <c r="AU145" s="87">
        <v>3</v>
      </c>
      <c r="AV145" s="60">
        <f>IF(AH143&lt;AI143,1,0)+IF(AJ143&lt;AK143,1,0)+IF(AL143&lt;AM143,1,0)</f>
        <v>0</v>
      </c>
      <c r="AW145" s="61">
        <f>AZ143</f>
        <v>2</v>
      </c>
      <c r="AX145" s="61">
        <f>IF(AH146&lt;AI146,1,0)+IF(AJ146&lt;AK146,1,0)+IF(AL146&lt;AM146,1,0)</f>
        <v>2</v>
      </c>
      <c r="AY145" s="61">
        <f>AZ144</f>
        <v>0</v>
      </c>
      <c r="AZ145" s="137"/>
      <c r="BA145" s="138"/>
      <c r="BB145" s="61">
        <f>IF(AH147&gt;AI147,1,0)+IF(AJ147&gt;AK147,1,0)+IF(AL147&gt;AM147,1,0)</f>
        <v>0</v>
      </c>
      <c r="BC145" s="67">
        <f>AZ146</f>
        <v>2</v>
      </c>
      <c r="BD145" s="140">
        <f>AO143+AQ143+AS143+AO146+AQ146+AS146+AN147+AP147+AR147</f>
        <v>83</v>
      </c>
      <c r="BE145" s="141">
        <f>AN143+AP143+AR143+AN146+AP146+AR146+AO147+AQ147+AS147</f>
        <v>117</v>
      </c>
      <c r="BF145" s="140">
        <f>AV145+AX145+BB145</f>
        <v>2</v>
      </c>
      <c r="BG145" s="142">
        <f>AW145+AY145+BC145</f>
        <v>4</v>
      </c>
      <c r="BH145" s="60">
        <f>IF(AV145&gt;AW145,1,0)+IF(AX145&gt;AY145,1,0)+IF(BB145&gt;BC145,1,0)</f>
        <v>1</v>
      </c>
      <c r="BI145" s="66">
        <f>IF(AW145&gt;AV145,1,0)+IF(AY145&gt;AX145,1,0)+IF(BC145&gt;BB145,1,0)</f>
        <v>2</v>
      </c>
      <c r="BJ145" s="68">
        <f>IF(BH145+BI145=0,"",IF(BK145=MAX(BK143:BK146),1,IF(BK145=LARGE(BK143:BK146,2),2,IF(BK145=MIN(BK143:BK146),4,3))))</f>
        <v>3</v>
      </c>
      <c r="BK145" s="135">
        <f>IF(BH145+BI145&lt;&gt;0,BH145-BI145+(BF145-BG145)/100+(BD145-BE145)/10000,-3)</f>
        <v>-1.0234</v>
      </c>
    </row>
    <row r="146" spans="1:63" ht="11.25" customHeight="1" thickBot="1">
      <c r="A146" s="12">
        <f t="shared" si="11"/>
        <v>41</v>
      </c>
      <c r="B146" s="12" t="str">
        <f>IF(N144="","",N144)</f>
        <v>K0038</v>
      </c>
      <c r="C146" s="12">
        <f>IF(N145="","",N145)</f>
      </c>
      <c r="D146" s="12" t="str">
        <f>IF(N147="","",N147)</f>
        <v>G0017</v>
      </c>
      <c r="E146" s="12">
        <f>IF(N148="","",N148)</f>
      </c>
      <c r="J146" s="29"/>
      <c r="K146" s="23"/>
      <c r="L146" s="23"/>
      <c r="M146" s="39" t="str">
        <f>N140</f>
        <v>Runners Up</v>
      </c>
      <c r="O146" s="23"/>
      <c r="P146" s="23"/>
      <c r="Q146" s="40">
        <f>IF(AT146&gt;0,"",IF(A146=0,"",IF(VLOOKUP(A146,'[1]plan gier'!A:S,19,FALSE)="","",VLOOKUP(A146,'[1]plan gier'!A:S,19,FALSE))))</f>
      </c>
      <c r="R146" s="41" t="s">
        <v>17</v>
      </c>
      <c r="S146" s="127">
        <v>41</v>
      </c>
      <c r="T146" s="279">
        <v>3</v>
      </c>
      <c r="U146" s="280">
        <f>IF(AND(N147&lt;&gt;"",N148&lt;&gt;""),CONCATENATE(VLOOKUP(N147,'[1]zawodnicy'!$A:$E,1,FALSE)," ",VLOOKUP(N147,'[1]zawodnicy'!$A:$E,2,FALSE)," ",VLOOKUP(N147,'[1]zawodnicy'!$A:$E,3,FALSE)," - ",VLOOKUP(N147,'[1]zawodnicy'!$A:$E,4,FALSE)),"")</f>
      </c>
      <c r="V146" s="316"/>
      <c r="W146" s="43" t="str">
        <f>IF(SUM(AN143:AO143)=0,"",AO143&amp;":"&amp;AN143)</f>
        <v>2:21</v>
      </c>
      <c r="X146" s="80" t="str">
        <f>IF(SUM(AN146:AO146)=0,"",AO146&amp;":"&amp;AN146)</f>
        <v>21:19</v>
      </c>
      <c r="Y146" s="44"/>
      <c r="Z146" s="45" t="str">
        <f>IF(SUM(AN147:AO147)=0,"",AN147&amp;":"&amp;AO147)</f>
        <v>14:21</v>
      </c>
      <c r="AA146" s="279" t="str">
        <f>IF(SUM(AV145:AY145,BB145:BC145)=0,"",BD145&amp;":"&amp;BE145)</f>
        <v>83:117</v>
      </c>
      <c r="AB146" s="282" t="str">
        <f>IF(SUM(AV145:AY145,BB145:BC145)=0,"",BF145&amp;":"&amp;BG145)</f>
        <v>2:4</v>
      </c>
      <c r="AC146" s="282" t="str">
        <f>IF(SUM(AV145:AY145,BB145:BC145)=0,"",BH145&amp;":"&amp;BI145)</f>
        <v>1:2</v>
      </c>
      <c r="AD146" s="283">
        <f>IF(SUM(BH143:BH146)&gt;0,BJ145,"")</f>
        <v>3</v>
      </c>
      <c r="AE146" s="22"/>
      <c r="AF146" s="22"/>
      <c r="AG146" s="41" t="s">
        <v>17</v>
      </c>
      <c r="AH146" s="46">
        <f>IF(ISBLANK(S146),"",VLOOKUP(S146,'[1]plan gier'!$X:$AN,12,FALSE))</f>
        <v>19</v>
      </c>
      <c r="AI146" s="47">
        <f>IF(ISBLANK(S146),"",VLOOKUP(S146,'[1]plan gier'!$X:$AN,13,FALSE))</f>
        <v>21</v>
      </c>
      <c r="AJ146" s="47">
        <f>IF(ISBLANK(S146),"",VLOOKUP(S146,'[1]plan gier'!$X:$AN,14,FALSE))</f>
        <v>14</v>
      </c>
      <c r="AK146" s="47">
        <f>IF(ISBLANK(S146),"",VLOOKUP(S146,'[1]plan gier'!$X:$AN,15,FALSE))</f>
        <v>21</v>
      </c>
      <c r="AL146" s="47">
        <f>IF(ISBLANK(S146),"",VLOOKUP(S146,'[1]plan gier'!$X:$AN,16,FALSE))</f>
        <v>0</v>
      </c>
      <c r="AM146" s="47">
        <f>IF(ISBLANK(S146),"",VLOOKUP(S146,'[1]plan gier'!$X:$AN,17,FALSE))</f>
        <v>0</v>
      </c>
      <c r="AN146" s="60">
        <f t="shared" si="12"/>
        <v>19</v>
      </c>
      <c r="AO146" s="61">
        <f t="shared" si="12"/>
        <v>21</v>
      </c>
      <c r="AP146" s="61">
        <f t="shared" si="12"/>
        <v>14</v>
      </c>
      <c r="AQ146" s="61">
        <f t="shared" si="12"/>
        <v>21</v>
      </c>
      <c r="AR146" s="61">
        <f t="shared" si="12"/>
        <v>0</v>
      </c>
      <c r="AS146" s="66">
        <f t="shared" si="12"/>
        <v>0</v>
      </c>
      <c r="AT146" s="130">
        <f t="shared" si="13"/>
        <v>75</v>
      </c>
      <c r="AU146" s="87">
        <v>4</v>
      </c>
      <c r="AV146" s="143">
        <f>IF(AH145&lt;AI145,1,0)+IF(AJ145&lt;AK145,1,0)+IF(AL145&lt;AM145,1,0)</f>
        <v>1</v>
      </c>
      <c r="AW146" s="144">
        <f>BB143</f>
        <v>2</v>
      </c>
      <c r="AX146" s="144">
        <f>IF(AH144&lt;AI144,1,0)+IF(AJ144&lt;AK144,1,0)+IF(AL144&lt;AM144,1,0)</f>
        <v>2</v>
      </c>
      <c r="AY146" s="144">
        <f>BB144</f>
        <v>0</v>
      </c>
      <c r="AZ146" s="72">
        <f>IF(AH147&lt;AI147,1,0)+IF(AJ147&lt;AK147,1,0)+IF(AL147&lt;AM147,1,0)</f>
        <v>2</v>
      </c>
      <c r="BA146" s="72">
        <f>BB145</f>
        <v>0</v>
      </c>
      <c r="BB146" s="145"/>
      <c r="BC146" s="146"/>
      <c r="BD146" s="71">
        <f>AO144+AQ144+AS144+AO145+AQ145+AS145+AO147+AQ147+AS147</f>
        <v>134</v>
      </c>
      <c r="BE146" s="78">
        <f>AN144+AP144+AR144+AN145+AP145+AR145+AN147+AP147+AR147</f>
        <v>113</v>
      </c>
      <c r="BF146" s="71">
        <f>AV146+AX146+AZ146</f>
        <v>5</v>
      </c>
      <c r="BG146" s="77">
        <f>AW146+AY146+BA146</f>
        <v>2</v>
      </c>
      <c r="BH146" s="71">
        <f>IF(AV146&gt;AW146,1,0)+IF(AX146&gt;AY146,1,0)+IF(AZ146&gt;BA146,1,0)</f>
        <v>2</v>
      </c>
      <c r="BI146" s="77">
        <f>IF(AW146&gt;AV146,1,0)+IF(AY146&gt;AX146,1,0)+IF(BA146&gt;AZ146,1,0)</f>
        <v>1</v>
      </c>
      <c r="BJ146" s="79">
        <f>IF(BH146+BI146=0,"",IF(BK146=MAX(BK143:BK146),1,IF(BK146=LARGE(BK143:BK146,2),2,IF(BK146=MIN(BK143:BK146),4,3))))</f>
        <v>2</v>
      </c>
      <c r="BK146" s="135">
        <f>IF(BH146+BI146&lt;&gt;0,BH146-BI146+(BF146-BG146)/100+(BD146-BE146)/10000,-3)</f>
        <v>1.0321</v>
      </c>
    </row>
    <row r="147" spans="1:63" ht="11.25" customHeight="1">
      <c r="A147" s="12">
        <f t="shared" si="11"/>
        <v>45</v>
      </c>
      <c r="B147" s="12" t="str">
        <f>IF(N147="","",N147)</f>
        <v>G0017</v>
      </c>
      <c r="C147" s="12">
        <f>IF(N148="","",N148)</f>
      </c>
      <c r="D147" s="12" t="str">
        <f>IF(N150="","",N150)</f>
        <v>S0040</v>
      </c>
      <c r="E147" s="12">
        <f>IF(N151="","",N151)</f>
      </c>
      <c r="H147" s="29"/>
      <c r="I147" s="2" t="str">
        <f>"4"&amp;O139&amp;N140</f>
        <v>43Runners Up</v>
      </c>
      <c r="J147" s="29" t="str">
        <f>IF(AD149="","",IF(AD140=4,N141,IF(AD143=4,N144,IF(AD146=4,N147,IF(AD149=4,N150,"")))))</f>
        <v>K0038</v>
      </c>
      <c r="K147" s="29">
        <f>IF(AD149="","",IF(AD140=4,N142,IF(AD143=4,N145,IF(AD146=4,N148,IF(AD149=4,N151,"")))))</f>
        <v>0</v>
      </c>
      <c r="L147" s="29"/>
      <c r="M147" s="39" t="str">
        <f>N140</f>
        <v>Runners Up</v>
      </c>
      <c r="N147" s="30" t="s">
        <v>65</v>
      </c>
      <c r="O147" s="31">
        <f>IF(O139&gt;0,(O139&amp;3)*1,"")</f>
        <v>33</v>
      </c>
      <c r="Q147" s="40">
        <f>IF(AT147&gt;0,"",IF(A147=0,"",IF(VLOOKUP(A147,'[1]plan gier'!A:S,19,FALSE)="","",VLOOKUP(A147,'[1]plan gier'!A:S,19,FALSE))))</f>
      </c>
      <c r="R147" s="41" t="s">
        <v>58</v>
      </c>
      <c r="S147" s="127">
        <v>45</v>
      </c>
      <c r="T147" s="260"/>
      <c r="U147" s="271" t="str">
        <f>IF(AND(N147&lt;&gt;"",N148=""),CONCATENATE(VLOOKUP(N147,'[1]zawodnicy'!$A:$E,1,FALSE)," ",VLOOKUP(N147,'[1]zawodnicy'!$A:$E,2,FALSE)," ",VLOOKUP(N147,'[1]zawodnicy'!$A:$E,3,FALSE)," - ",VLOOKUP(N147,'[1]zawodnicy'!$A:$E,4,FALSE)),"")</f>
        <v>G0017 Grzegorz GODZWON - Rzeszów</v>
      </c>
      <c r="V147" s="311"/>
      <c r="W147" s="58" t="str">
        <f>IF(SUM(AP143:AQ143)=0,"",AQ143&amp;":"&amp;AP143)</f>
        <v>14:21</v>
      </c>
      <c r="X147" s="33" t="str">
        <f>IF(SUM(AP146:AQ146)=0,"",AQ146&amp;":"&amp;AP146)</f>
        <v>21:14</v>
      </c>
      <c r="Y147" s="59"/>
      <c r="Z147" s="34" t="str">
        <f>IF(SUM(AP147:AQ147)=0,"",AP147&amp;":"&amp;AQ147)</f>
        <v>11:21</v>
      </c>
      <c r="AA147" s="260"/>
      <c r="AB147" s="265"/>
      <c r="AC147" s="265"/>
      <c r="AD147" s="268"/>
      <c r="AE147" s="22"/>
      <c r="AF147" s="22"/>
      <c r="AG147" s="41" t="s">
        <v>58</v>
      </c>
      <c r="AH147" s="46">
        <f>IF(ISBLANK(S147),"",VLOOKUP(S147,'[1]plan gier'!$X:$AN,12,FALSE))</f>
        <v>14</v>
      </c>
      <c r="AI147" s="47">
        <f>IF(ISBLANK(S147),"",VLOOKUP(S147,'[1]plan gier'!$X:$AN,13,FALSE))</f>
        <v>21</v>
      </c>
      <c r="AJ147" s="47">
        <f>IF(ISBLANK(S147),"",VLOOKUP(S147,'[1]plan gier'!$X:$AN,14,FALSE))</f>
        <v>11</v>
      </c>
      <c r="AK147" s="47">
        <f>IF(ISBLANK(S147),"",VLOOKUP(S147,'[1]plan gier'!$X:$AN,15,FALSE))</f>
        <v>21</v>
      </c>
      <c r="AL147" s="47">
        <f>IF(ISBLANK(S147),"",VLOOKUP(S147,'[1]plan gier'!$X:$AN,16,FALSE))</f>
        <v>0</v>
      </c>
      <c r="AM147" s="47">
        <f>IF(ISBLANK(S147),"",VLOOKUP(S147,'[1]plan gier'!$X:$AN,17,FALSE))</f>
        <v>0</v>
      </c>
      <c r="AN147" s="60">
        <f t="shared" si="12"/>
        <v>14</v>
      </c>
      <c r="AO147" s="61">
        <f t="shared" si="12"/>
        <v>21</v>
      </c>
      <c r="AP147" s="61">
        <f t="shared" si="12"/>
        <v>11</v>
      </c>
      <c r="AQ147" s="61">
        <f t="shared" si="12"/>
        <v>21</v>
      </c>
      <c r="AR147" s="61">
        <f t="shared" si="12"/>
        <v>0</v>
      </c>
      <c r="AS147" s="66">
        <f t="shared" si="12"/>
        <v>0</v>
      </c>
      <c r="AT147" s="130">
        <f t="shared" si="13"/>
        <v>67</v>
      </c>
      <c r="BD147" s="12">
        <f aca="true" t="shared" si="14" ref="BD147:BI147">SUM(BD143:BD146)</f>
        <v>438</v>
      </c>
      <c r="BE147" s="12">
        <f t="shared" si="14"/>
        <v>438</v>
      </c>
      <c r="BF147" s="12">
        <f t="shared" si="14"/>
        <v>13</v>
      </c>
      <c r="BG147" s="12">
        <f t="shared" si="14"/>
        <v>13</v>
      </c>
      <c r="BH147" s="12">
        <f t="shared" si="14"/>
        <v>6</v>
      </c>
      <c r="BI147" s="12">
        <f t="shared" si="14"/>
        <v>6</v>
      </c>
      <c r="BK147" s="13">
        <f>SUM(BK143:BK146)</f>
        <v>0</v>
      </c>
    </row>
    <row r="148" spans="1:46" ht="11.25" customHeight="1" thickBot="1">
      <c r="A148" s="12">
        <f t="shared" si="11"/>
        <v>46</v>
      </c>
      <c r="B148" s="12" t="str">
        <f>IF(N141="","",N141)</f>
        <v>M0008</v>
      </c>
      <c r="C148" s="12">
        <f>IF(N142="","",N142)</f>
      </c>
      <c r="D148" s="12" t="str">
        <f>IF(N144="","",N144)</f>
        <v>K0038</v>
      </c>
      <c r="E148" s="12">
        <f>IF(N145="","",N145)</f>
      </c>
      <c r="J148" s="23"/>
      <c r="K148" s="23"/>
      <c r="L148" s="23"/>
      <c r="M148" s="39" t="str">
        <f>N140</f>
        <v>Runners Up</v>
      </c>
      <c r="N148" s="35"/>
      <c r="O148" s="23"/>
      <c r="P148" s="23"/>
      <c r="Q148" s="40">
        <f>IF(AT148&gt;0,"",IF(A148=0,"",IF(VLOOKUP(A148,'[1]plan gier'!A:S,19,FALSE)="","",VLOOKUP(A148,'[1]plan gier'!A:S,19,FALSE))))</f>
      </c>
      <c r="R148" s="41" t="s">
        <v>18</v>
      </c>
      <c r="S148" s="127">
        <v>46</v>
      </c>
      <c r="T148" s="261"/>
      <c r="U148" s="273">
        <f>IF(N148&lt;&gt;"",CONCATENATE(VLOOKUP(N148,'[1]zawodnicy'!$A:$E,1,FALSE)," ",VLOOKUP(N148,'[1]zawodnicy'!$A:$E,2,FALSE)," ",VLOOKUP(N148,'[1]zawodnicy'!$A:$E,3,FALSE)," - ",VLOOKUP(N148,'[1]zawodnicy'!$A:$E,4,FALSE)),"")</f>
      </c>
      <c r="V148" s="312"/>
      <c r="W148" s="70">
        <f>IF(SUM(AR143:AS143)=0,"",AS143&amp;":"&amp;AR143)</f>
      </c>
      <c r="X148" s="36">
        <f>IF(SUM(AR146:AS146)=0,"",AS146&amp;":"&amp;AR146)</f>
      </c>
      <c r="Y148" s="59"/>
      <c r="Z148" s="37">
        <f>IF(SUM(AR147:AS147)=0,"",AR147&amp;":"&amp;AS147)</f>
      </c>
      <c r="AA148" s="260"/>
      <c r="AB148" s="265"/>
      <c r="AC148" s="265"/>
      <c r="AD148" s="268"/>
      <c r="AE148" s="22"/>
      <c r="AF148" s="22"/>
      <c r="AG148" s="41" t="s">
        <v>18</v>
      </c>
      <c r="AH148" s="143">
        <f>IF(ISBLANK(S148),"",VLOOKUP(S148,'[1]plan gier'!$X:$AN,12,FALSE))</f>
        <v>21</v>
      </c>
      <c r="AI148" s="144">
        <f>IF(ISBLANK(S148),"",VLOOKUP(S148,'[1]plan gier'!$X:$AN,13,FALSE))</f>
        <v>6</v>
      </c>
      <c r="AJ148" s="144">
        <f>IF(ISBLANK(S148),"",VLOOKUP(S148,'[1]plan gier'!$X:$AN,14,FALSE))</f>
        <v>21</v>
      </c>
      <c r="AK148" s="144">
        <f>IF(ISBLANK(S148),"",VLOOKUP(S148,'[1]plan gier'!$X:$AN,15,FALSE))</f>
        <v>10</v>
      </c>
      <c r="AL148" s="144">
        <f>IF(ISBLANK(S148),"",VLOOKUP(S148,'[1]plan gier'!$X:$AN,16,FALSE))</f>
        <v>0</v>
      </c>
      <c r="AM148" s="144">
        <f>IF(ISBLANK(S148),"",VLOOKUP(S148,'[1]plan gier'!$X:$AN,17,FALSE))</f>
        <v>0</v>
      </c>
      <c r="AN148" s="71">
        <f t="shared" si="12"/>
        <v>21</v>
      </c>
      <c r="AO148" s="72">
        <f t="shared" si="12"/>
        <v>6</v>
      </c>
      <c r="AP148" s="72">
        <f t="shared" si="12"/>
        <v>21</v>
      </c>
      <c r="AQ148" s="72">
        <f t="shared" si="12"/>
        <v>10</v>
      </c>
      <c r="AR148" s="72">
        <f t="shared" si="12"/>
        <v>0</v>
      </c>
      <c r="AS148" s="77">
        <f t="shared" si="12"/>
        <v>0</v>
      </c>
      <c r="AT148" s="130">
        <f t="shared" si="13"/>
        <v>58</v>
      </c>
    </row>
    <row r="149" spans="1:46" ht="11.25" customHeight="1">
      <c r="A149" s="2"/>
      <c r="J149" s="23"/>
      <c r="K149" s="23"/>
      <c r="L149" s="23"/>
      <c r="O149" s="23"/>
      <c r="P149" s="23"/>
      <c r="Q149" s="2"/>
      <c r="R149" s="2"/>
      <c r="S149" s="2"/>
      <c r="T149" s="279">
        <v>4</v>
      </c>
      <c r="U149" s="280">
        <f>IF(AND(N150&lt;&gt;"",N151&lt;&gt;""),CONCATENATE(VLOOKUP(N150,'[1]zawodnicy'!$A:$E,1,FALSE)," ",VLOOKUP(N150,'[1]zawodnicy'!$A:$E,2,FALSE)," ",VLOOKUP(N150,'[1]zawodnicy'!$A:$E,3,FALSE)," - ",VLOOKUP(N150,'[1]zawodnicy'!$A:$E,4,FALSE)),"")</f>
      </c>
      <c r="V149" s="316"/>
      <c r="W149" s="43" t="str">
        <f>IF(SUM(AN145:AO145)=0,"",AO145&amp;":"&amp;AN145)</f>
        <v>21:19</v>
      </c>
      <c r="X149" s="80" t="str">
        <f>IF(SUM(AN144:AO144)=0,"",AO144&amp;":"&amp;AN144)</f>
        <v>21:11</v>
      </c>
      <c r="Y149" s="80" t="str">
        <f>IF(SUM(AN147:AO147)=0,"",AO147&amp;":"&amp;AN147)</f>
        <v>21:14</v>
      </c>
      <c r="Z149" s="147"/>
      <c r="AA149" s="279" t="str">
        <f>IF(SUM(AV146:BA146)=0,"",BD146&amp;":"&amp;BE146)</f>
        <v>134:113</v>
      </c>
      <c r="AB149" s="282" t="str">
        <f>IF(SUM(AV146:BA146)=0,"",BF146&amp;":"&amp;BG146)</f>
        <v>5:2</v>
      </c>
      <c r="AC149" s="282" t="str">
        <f>IF(SUM(AV146:BA146)=0,"",BH146&amp;":"&amp;BI146)</f>
        <v>2:1</v>
      </c>
      <c r="AD149" s="283">
        <f>IF(SUM(BH143:BH146)&gt;0,BJ146,"")</f>
        <v>2</v>
      </c>
      <c r="AE149" s="22"/>
      <c r="AF149" s="2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63" ht="11.25" customHeight="1">
      <c r="A150" s="12"/>
      <c r="B150" s="12"/>
      <c r="C150" s="12"/>
      <c r="D150" s="12"/>
      <c r="E150" s="12"/>
      <c r="H150" s="29"/>
      <c r="J150" s="12"/>
      <c r="K150" s="12"/>
      <c r="L150" s="12"/>
      <c r="N150" s="30" t="s">
        <v>66</v>
      </c>
      <c r="O150" s="31">
        <f>IF(O139&gt;0,(O139&amp;4)*1,"")</f>
        <v>34</v>
      </c>
      <c r="Q150" s="82"/>
      <c r="R150" s="82"/>
      <c r="S150" s="42"/>
      <c r="T150" s="260"/>
      <c r="U150" s="271" t="str">
        <f>IF(AND(N150&lt;&gt;"",N151=""),CONCATENATE(VLOOKUP(N150,'[1]zawodnicy'!$A:$E,1,FALSE)," ",VLOOKUP(N150,'[1]zawodnicy'!$A:$E,2,FALSE)," ",VLOOKUP(N150,'[1]zawodnicy'!$A:$E,3,FALSE)," - ",VLOOKUP(N150,'[1]zawodnicy'!$A:$E,4,FALSE)),"")</f>
        <v>S0040 Kamil SPŁAWIŃSKI - Dubiecko</v>
      </c>
      <c r="V150" s="311"/>
      <c r="W150" s="58" t="str">
        <f>IF(SUM(AP145:AQ145)=0,"",AQ145&amp;":"&amp;AP145)</f>
        <v>11:21</v>
      </c>
      <c r="X150" s="33" t="str">
        <f>IF(SUM(AP144:AQ144)=0,"",AQ144&amp;":"&amp;AP144)</f>
        <v>21:16</v>
      </c>
      <c r="Y150" s="33" t="str">
        <f>IF(SUM(AP147:AQ147)=0,"",AQ147&amp;":"&amp;AP147)</f>
        <v>21:11</v>
      </c>
      <c r="Z150" s="148"/>
      <c r="AA150" s="260"/>
      <c r="AB150" s="265"/>
      <c r="AC150" s="265"/>
      <c r="AD150" s="268"/>
      <c r="AE150" s="22"/>
      <c r="AF150" s="2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1:63" ht="11.25" customHeight="1" thickBot="1">
      <c r="A151" s="2"/>
      <c r="J151" s="23"/>
      <c r="K151" s="23"/>
      <c r="L151" s="23"/>
      <c r="N151" s="35"/>
      <c r="O151" s="23"/>
      <c r="P151" s="23"/>
      <c r="Q151" s="2"/>
      <c r="R151" s="2"/>
      <c r="S151" s="2"/>
      <c r="T151" s="284"/>
      <c r="U151" s="287">
        <f>IF(N151&lt;&gt;"",CONCATENATE(VLOOKUP(N151,'[1]zawodnicy'!$A:$E,1,FALSE)," ",VLOOKUP(N151,'[1]zawodnicy'!$A:$E,2,FALSE)," ",VLOOKUP(N151,'[1]zawodnicy'!$A:$E,3,FALSE)," - ",VLOOKUP(N151,'[1]zawodnicy'!$A:$E,4,FALSE)),"")</f>
      </c>
      <c r="V151" s="319"/>
      <c r="W151" s="84" t="str">
        <f>IF(SUM(AR145:AS145)=0,"",AS145&amp;":"&amp;AR145)</f>
        <v>18:21</v>
      </c>
      <c r="X151" s="85">
        <f>IF(SUM(AR144:AS144)=0,"",AS144&amp;":"&amp;AR144)</f>
      </c>
      <c r="Y151" s="85">
        <f>IF(SUM(AR147:AS147)=0,"",AS147&amp;":"&amp;AR147)</f>
      </c>
      <c r="Z151" s="86"/>
      <c r="AA151" s="284"/>
      <c r="AB151" s="285"/>
      <c r="AC151" s="285"/>
      <c r="AD151" s="286"/>
      <c r="AE151" s="22"/>
      <c r="AF151" s="2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ht="11.25" customHeight="1"/>
    <row r="153" ht="11.25" customHeight="1"/>
    <row r="154" ht="11.25" customHeight="1">
      <c r="U154" s="87" t="s">
        <v>67</v>
      </c>
    </row>
    <row r="155" spans="10:32" ht="11.25" customHeight="1">
      <c r="J155" s="2"/>
      <c r="N155" s="88" t="s">
        <v>52</v>
      </c>
      <c r="P155" s="89"/>
      <c r="Q155" s="1"/>
      <c r="R155" s="1"/>
      <c r="S155" s="1"/>
      <c r="T155" s="90"/>
      <c r="U155" s="91"/>
      <c r="V155" s="91"/>
      <c r="W155" s="91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1.25" customHeight="1">
      <c r="A156" s="92">
        <f>V156</f>
        <v>0</v>
      </c>
      <c r="B156" s="2" t="str">
        <f>IF(TYPE(S156)=16,"",S156)</f>
        <v>N0002</v>
      </c>
      <c r="F156" s="2" t="str">
        <f>IF(A156=0,IF(AND(LEN(B156)&gt;0,LEN(D156)=0),VLOOKUP(B156,'[1]zawodnicy'!$A:$E,1,FALSE),IF(AND(LEN(D156)&gt;0,LEN(B156)=0),VLOOKUP(D156,'[1]zawodnicy'!$A:$E,1,FALSE),"")),IF((VLOOKUP(A156,'[1]plan gier'!$X:$AF,7,FALSE))="","",VLOOKUP(VLOOKUP(A156,'[1]plan gier'!$X:$AF,7,FALSE),'[1]zawodnicy'!$A:$E,1,FALSE)))</f>
        <v>N0002</v>
      </c>
      <c r="H156" s="2">
        <f>IF(A156=0,"",IF((VLOOKUP(A156,'[1]plan gier'!$X:$AF,7,FALSE))="","",VLOOKUP(A156,'[1]plan gier'!$X:$AF,9,FALSE)))</f>
      </c>
      <c r="J156" s="93"/>
      <c r="L156" s="40">
        <f>IF(A156=0,"",IF(VLOOKUP(A156,'[1]plan gier'!A:S,19,FALSE)="","",VLOOKUP(A156,'[1]plan gier'!A:S,19,FALSE)))</f>
      </c>
      <c r="M156" s="2" t="str">
        <f>N155</f>
        <v>Runners Up</v>
      </c>
      <c r="N156" s="94"/>
      <c r="O156" s="95"/>
      <c r="P156" s="94"/>
      <c r="Q156" s="289" t="s">
        <v>36</v>
      </c>
      <c r="R156" s="290"/>
      <c r="S156" s="291" t="str">
        <f>UPPER(IF((N155=""),"",IF(TYPE(VLOOKUP(1&amp;1&amp;N155,I:J,2,FALSE))=2,VLOOKUP(1&amp;1&amp;N155,I:J,2,FALSE),"")))</f>
        <v>N0002</v>
      </c>
      <c r="T156" s="292"/>
      <c r="U156" s="292" t="str">
        <f>IF(S156&lt;&gt;"",CONCATENATE(VLOOKUP(S156,'[1]zawodnicy'!$A:$E,2,FALSE)," ",VLOOKUP(S156,'[1]zawodnicy'!$A:$E,3,FALSE)," - ",VLOOKUP(S156,'[1]zawodnicy'!$A:$E,4,FALSE)),"")</f>
        <v>Robert NOWAK - Mielec</v>
      </c>
      <c r="V156" s="295"/>
      <c r="W156" s="297" t="str">
        <f>IF(ISBLANK(V156),IF(AND(LEN(S156)&gt;0,LEN(S157)=0),VLOOKUP(S156,'[1]zawodnicy'!$A:$E,3,FALSE),IF(AND(LEN(S157)&gt;0,LEN(S156)=0),VLOOKUP(S157,'[1]zawodnicy'!$A:$E,3,FALSE),"")),IF((VLOOKUP(V156,'[1]plan gier'!$X:$AF,7,FALSE))="","",VLOOKUP(VLOOKUP(V156,'[1]plan gier'!$X:$AF,7,FALSE),'[1]zawodnicy'!$A:$E,3,FALSE)))</f>
        <v>NOWAK</v>
      </c>
      <c r="X156" s="298"/>
      <c r="Y156" s="298"/>
      <c r="Z156" s="2"/>
      <c r="AA156" s="2"/>
      <c r="AB156" s="2"/>
      <c r="AC156" s="2"/>
      <c r="AD156" s="2"/>
      <c r="AE156" s="2"/>
      <c r="AF156" s="2"/>
    </row>
    <row r="157" spans="10:32" ht="11.25" customHeight="1">
      <c r="J157" s="93"/>
      <c r="N157" s="94"/>
      <c r="O157" s="95"/>
      <c r="P157" s="94"/>
      <c r="Q157" s="289"/>
      <c r="R157" s="290"/>
      <c r="S157" s="293"/>
      <c r="T157" s="294"/>
      <c r="U157" s="294"/>
      <c r="V157" s="296"/>
      <c r="W157" s="299"/>
      <c r="X157" s="300"/>
      <c r="Y157" s="301"/>
      <c r="Z157" s="2"/>
      <c r="AA157" s="2"/>
      <c r="AB157" s="2"/>
      <c r="AC157" s="2"/>
      <c r="AD157" s="2"/>
      <c r="AE157" s="2"/>
      <c r="AF157" s="2"/>
    </row>
    <row r="158" spans="1:32" ht="11.25" customHeight="1">
      <c r="A158" s="98">
        <f>Y158</f>
        <v>49</v>
      </c>
      <c r="B158" s="2" t="str">
        <f>F156</f>
        <v>N0002</v>
      </c>
      <c r="D158" s="2" t="str">
        <f>F160</f>
        <v>K0012</v>
      </c>
      <c r="F158" s="2" t="str">
        <f>IF(A158=0,IF(AND(LEN(B158)&gt;0,LEN(D158)=0),B158,IF(AND(LEN(D158)&gt;0,LEN(B158)=0),D158,"")),IF((VLOOKUP(A158,'[1]plan gier'!$X:$AF,7,FALSE))="","",VLOOKUP(VLOOKUP(A158,'[1]plan gier'!$X:$AF,7,FALSE),'[1]zawodnicy'!$A:$E,1,FALSE)))</f>
        <v>N0002</v>
      </c>
      <c r="H158" s="2" t="str">
        <f>IF(A158=0,"",IF((VLOOKUP(A158,'[1]plan gier'!$X:$AF,7,FALSE))="","",VLOOKUP(A158,'[1]plan gier'!$X:$AF,9,FALSE)))</f>
        <v>21:14,21:13</v>
      </c>
      <c r="J158" s="93"/>
      <c r="L158" s="40" t="str">
        <f>IF(A158=0,"",IF(VLOOKUP(A158,'[1]plan gier'!A:S,19,FALSE)="","",VLOOKUP(A158,'[1]plan gier'!A:S,19,FALSE)))</f>
        <v>godz.13:00</v>
      </c>
      <c r="M158" s="2" t="str">
        <f>N155</f>
        <v>Runners Up</v>
      </c>
      <c r="N158" s="94"/>
      <c r="O158" s="95"/>
      <c r="P158" s="94"/>
      <c r="S158" s="99"/>
      <c r="T158" s="100"/>
      <c r="U158" s="2"/>
      <c r="V158" s="2"/>
      <c r="W158" s="101"/>
      <c r="X158" s="29"/>
      <c r="Y158" s="102">
        <v>49</v>
      </c>
      <c r="Z158" s="298" t="str">
        <f>IF(ISBLANK(Y158),IF(AND(LEN(W156)&gt;0,LEN(W160)=0),W156,IF(AND(LEN(W160)&gt;0,LEN(W156)=0),W160,"")),IF((VLOOKUP(Y158,'[1]plan gier'!$X:$AF,7,FALSE))="","",VLOOKUP(VLOOKUP(Y158,'[1]plan gier'!$X:$AF,7,FALSE),'[1]zawodnicy'!$A:$E,3,FALSE)))</f>
        <v>NOWAK</v>
      </c>
      <c r="AA158" s="298"/>
      <c r="AB158" s="298"/>
      <c r="AC158" s="2"/>
      <c r="AD158" s="2"/>
      <c r="AE158" s="2"/>
      <c r="AF158" s="2"/>
    </row>
    <row r="159" spans="10:63" ht="11.25" customHeight="1">
      <c r="J159" s="93"/>
      <c r="N159" s="94"/>
      <c r="O159" s="95"/>
      <c r="P159" s="94"/>
      <c r="S159" s="99"/>
      <c r="T159" s="100"/>
      <c r="U159" s="2"/>
      <c r="V159" s="2"/>
      <c r="W159" s="101"/>
      <c r="X159" s="29"/>
      <c r="Y159" s="103"/>
      <c r="Z159" s="300" t="str">
        <f>IF(ISBLANK(Y158),"",IF((VLOOKUP(Y158,'[1]plan gier'!$X:$AF,7,FALSE))="",L158,VLOOKUP(Y158,'[1]plan gier'!$X:$AF,9,FALSE)))</f>
        <v>21:14,21:13</v>
      </c>
      <c r="AA159" s="300"/>
      <c r="AB159" s="301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1:63" ht="11.25" customHeight="1">
      <c r="A160" s="92">
        <f>V160</f>
        <v>47</v>
      </c>
      <c r="B160" s="2" t="str">
        <f>IF(TYPE(S160)=16,"",S160)</f>
        <v>S0040</v>
      </c>
      <c r="D160" s="2" t="str">
        <f>IF(TYPE(S161)=16,"",S161)</f>
        <v>K0012</v>
      </c>
      <c r="F160" s="2" t="str">
        <f>IF(A160=0,IF(AND(LEN(B160)&gt;0,LEN(D160)=0),VLOOKUP(B160,'[1]zawodnicy'!$A:$E,1,FALSE),IF(AND(LEN(D160)&gt;0,LEN(B160)=0),VLOOKUP(D160,'[1]zawodnicy'!$A:$E,1,FALSE),"")),IF((VLOOKUP(A160,'[1]plan gier'!$X:$AF,7,FALSE))="","",VLOOKUP(VLOOKUP(A160,'[1]plan gier'!$X:$AF,7,FALSE),'[1]zawodnicy'!$A:$E,1,FALSE)))</f>
        <v>K0012</v>
      </c>
      <c r="H160" s="2" t="str">
        <f>IF(A160=0,"",IF((VLOOKUP(A160,'[1]plan gier'!$X:$AF,7,FALSE))="","",VLOOKUP(A160,'[1]plan gier'!$X:$AF,9,FALSE)))</f>
        <v>21:10,21:5</v>
      </c>
      <c r="J160" s="93"/>
      <c r="L160" s="40" t="str">
        <f>IF(A160=0,"",IF(VLOOKUP(A160,'[1]plan gier'!A:S,19,FALSE)="","",VLOOKUP(A160,'[1]plan gier'!A:S,19,FALSE)))</f>
        <v>godz.12:40</v>
      </c>
      <c r="M160" s="2" t="str">
        <f>N155</f>
        <v>Runners Up</v>
      </c>
      <c r="N160" s="94"/>
      <c r="O160" s="95"/>
      <c r="P160" s="94"/>
      <c r="Q160" s="87" t="s">
        <v>42</v>
      </c>
      <c r="S160" s="302" t="str">
        <f>UPPER(IF(N155="","",IF(TYPE(VLOOKUP(2&amp;3&amp;N155,I:J,2,FALSE))=2,VLOOKUP(2&amp;3&amp;N155,I:J,2,FALSE),"")))</f>
        <v>S0040</v>
      </c>
      <c r="T160" s="303"/>
      <c r="U160" s="104" t="str">
        <f>IF(S160&lt;&gt;"",CONCATENATE(VLOOKUP(S160,'[1]zawodnicy'!$A:$E,2,FALSE)," ",VLOOKUP(S160,'[1]zawodnicy'!$A:$E,3,FALSE)," - ",VLOOKUP(S160,'[1]zawodnicy'!$A:$E,4,FALSE)),"")</f>
        <v>Kamil SPŁAWIŃSKI - Dubiecko</v>
      </c>
      <c r="V160" s="105">
        <v>47</v>
      </c>
      <c r="W160" s="297" t="str">
        <f>IF(ISBLANK(V160),IF(AND(LEN(S160)&gt;0,LEN(S161)=0),VLOOKUP(S160,'[1]zawodnicy'!$A:$E,3,FALSE),IF(AND(LEN(S161)&gt;0,LEN(S160)=0),VLOOKUP(S161,'[1]zawodnicy'!$A:$E,3,FALSE),"")),IF((VLOOKUP(V160,'[1]plan gier'!$X:$AF,7,FALSE))="","",VLOOKUP(VLOOKUP(V160,'[1]plan gier'!$X:$AF,7,FALSE),'[1]zawodnicy'!$A:$E,3,FALSE)))</f>
        <v>KOTERBA</v>
      </c>
      <c r="X160" s="298"/>
      <c r="Y160" s="304"/>
      <c r="Z160" s="29"/>
      <c r="AA160" s="29"/>
      <c r="AB160" s="106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10:63" ht="11.25" customHeight="1">
      <c r="J161" s="93"/>
      <c r="N161" s="94"/>
      <c r="O161" s="95"/>
      <c r="P161" s="94"/>
      <c r="Q161" s="87" t="s">
        <v>43</v>
      </c>
      <c r="S161" s="302" t="str">
        <f>UPPER(IF(N155="","",IF(TYPE(VLOOKUP(2&amp;2&amp;N155,I:J,2,FALSE))=2,VLOOKUP(2&amp;2&amp;N155,I:J,2,FALSE),"")))</f>
        <v>K0012</v>
      </c>
      <c r="T161" s="303"/>
      <c r="U161" s="104" t="str">
        <f>IF(S161&lt;&gt;"",CONCATENATE(VLOOKUP(S161,'[1]zawodnicy'!$A:$E,2,FALSE)," ",VLOOKUP(S161,'[1]zawodnicy'!$A:$E,3,FALSE)," - ",VLOOKUP(S161,'[1]zawodnicy'!$A:$E,4,FALSE)),"")</f>
        <v>Piotr KOTERBA - Rzeszów</v>
      </c>
      <c r="V161" s="107"/>
      <c r="W161" s="305" t="str">
        <f>IF(ISBLANK(V160),"",IF((VLOOKUP(V160,'[1]plan gier'!$X:$AF,7,FALSE))="",L160,VLOOKUP(V160,'[1]plan gier'!$X:$AF,9,FALSE)))</f>
        <v>21:10,21:5</v>
      </c>
      <c r="X161" s="306"/>
      <c r="Y161" s="306"/>
      <c r="Z161" s="29"/>
      <c r="AA161" s="29"/>
      <c r="AB161" s="106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1:63" ht="11.25" customHeight="1">
      <c r="A162" s="109">
        <f>AB162</f>
        <v>52</v>
      </c>
      <c r="B162" s="2" t="str">
        <f>F158</f>
        <v>N0002</v>
      </c>
      <c r="D162" s="2" t="str">
        <f>F166</f>
        <v>S0020</v>
      </c>
      <c r="F162" s="2" t="str">
        <f>IF(A162=0,IF(AND(LEN(B162)&gt;0,LEN(D162)=0),B162,IF(AND(LEN(D162)&gt;0,LEN(B162)=0),D162,"")),IF((VLOOKUP(A162,'[1]plan gier'!$X:$AF,7,FALSE))="","",VLOOKUP(VLOOKUP(A162,'[1]plan gier'!$X:$AF,7,FALSE),'[1]zawodnicy'!$A:$E,1,FALSE)))</f>
        <v>N0002</v>
      </c>
      <c r="H162" s="2" t="str">
        <f>IF(A162=0,"",IF((VLOOKUP(A162,'[1]plan gier'!$X:$AF,7,FALSE))="","",VLOOKUP(A162,'[1]plan gier'!$X:$AF,9,FALSE)))</f>
        <v>21:17,21:12</v>
      </c>
      <c r="J162" s="93"/>
      <c r="L162" s="40" t="str">
        <f>IF(A162=0,"",IF(VLOOKUP(A162,'[1]plan gier'!A:S,19,FALSE)="","",VLOOKUP(A162,'[1]plan gier'!A:S,19,FALSE)))</f>
        <v>godz.13:00</v>
      </c>
      <c r="M162" s="2" t="str">
        <f>N155</f>
        <v>Runners Up</v>
      </c>
      <c r="N162" s="94"/>
      <c r="O162" s="95"/>
      <c r="P162" s="94"/>
      <c r="S162" s="99"/>
      <c r="T162" s="100"/>
      <c r="U162" s="101"/>
      <c r="V162" s="2"/>
      <c r="W162" s="29"/>
      <c r="X162" s="2"/>
      <c r="Y162" s="2"/>
      <c r="Z162" s="29"/>
      <c r="AA162" s="29"/>
      <c r="AB162" s="102">
        <v>52</v>
      </c>
      <c r="AC162" s="298" t="str">
        <f>IF(ISBLANK(AB162),IF(AND(LEN(Z158)&gt;0,LEN(Z166)=0),Z158,IF(AND(LEN(Z166)&gt;0,LEN(Z158)=0),Z166,"")),IF((VLOOKUP(AB162,'[1]plan gier'!$X:$AF,7,FALSE))="","",VLOOKUP(VLOOKUP(AB162,'[1]plan gier'!$X:$AF,7,FALSE),'[1]zawodnicy'!$A:$E,3,FALSE)))</f>
        <v>NOWAK</v>
      </c>
      <c r="AD162" s="298"/>
      <c r="AE162" s="298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10:63" ht="11.25" customHeight="1">
      <c r="J163" s="93"/>
      <c r="N163" s="94"/>
      <c r="O163" s="95"/>
      <c r="P163" s="94"/>
      <c r="S163" s="99"/>
      <c r="T163" s="100"/>
      <c r="U163" s="101"/>
      <c r="V163" s="2"/>
      <c r="W163" s="29"/>
      <c r="X163" s="2"/>
      <c r="Y163" s="2"/>
      <c r="Z163" s="29"/>
      <c r="AA163" s="29"/>
      <c r="AB163" s="103"/>
      <c r="AC163" s="300" t="str">
        <f>IF(ISBLANK(AB162),"",IF((VLOOKUP(AB162,'[1]plan gier'!$X:$AF,7,FALSE))="",L162,VLOOKUP(AB162,'[1]plan gier'!$X:$AF,9,FALSE)))</f>
        <v>21:17,21:12</v>
      </c>
      <c r="AD163" s="300"/>
      <c r="AE163" s="300"/>
      <c r="AF163" s="29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1:63" ht="11.25" customHeight="1">
      <c r="A164" s="92">
        <f>V164</f>
        <v>48</v>
      </c>
      <c r="B164" s="2" t="str">
        <f>IF(TYPE(S164)=16,"",S164)</f>
        <v>B0021</v>
      </c>
      <c r="D164" s="2" t="str">
        <f>IF(TYPE(S165)=16,"",S165)</f>
        <v>S0020</v>
      </c>
      <c r="F164" s="2" t="str">
        <f>IF(A164=0,IF(AND(LEN(B164)&gt;0,LEN(D164)=0),VLOOKUP(B164,'[1]zawodnicy'!$A:$E,1,FALSE),IF(AND(LEN(D164)&gt;0,LEN(B164)=0),VLOOKUP(D164,'[1]zawodnicy'!$A:$E,1,FALSE),"")),IF((VLOOKUP(A164,'[1]plan gier'!$X:$AF,7,FALSE))="","",VLOOKUP(VLOOKUP(A164,'[1]plan gier'!$X:$AF,7,FALSE),'[1]zawodnicy'!$A:$E,1,FALSE)))</f>
        <v>S0020</v>
      </c>
      <c r="H164" s="2" t="str">
        <f>IF(A164=0,"",IF((VLOOKUP(A164,'[1]plan gier'!$X:$AF,7,FALSE))="","",VLOOKUP(A164,'[1]plan gier'!$X:$AF,9,FALSE)))</f>
        <v>21:8,21:18</v>
      </c>
      <c r="J164" s="93"/>
      <c r="L164" s="40" t="str">
        <f>IF(A164=0,"",IF(VLOOKUP(A164,'[1]plan gier'!A:S,19,FALSE)="","",VLOOKUP(A164,'[1]plan gier'!A:S,19,FALSE)))</f>
        <v>godz.12:40</v>
      </c>
      <c r="M164" s="2" t="str">
        <f>N155</f>
        <v>Runners Up</v>
      </c>
      <c r="N164" s="94"/>
      <c r="O164" s="95"/>
      <c r="P164" s="94"/>
      <c r="Q164" s="87" t="s">
        <v>45</v>
      </c>
      <c r="S164" s="302" t="str">
        <f>UPPER(IF(N155="","",IF(TYPE(VLOOKUP(2&amp;1&amp;N155,I:J,2,FALSE))=2,VLOOKUP(2&amp;1&amp;N155,I:J,2,FALSE),"")))</f>
        <v>B0021</v>
      </c>
      <c r="T164" s="303"/>
      <c r="U164" s="104" t="str">
        <f>IF(S164&lt;&gt;"",CONCATENATE(VLOOKUP(S164,'[1]zawodnicy'!$A:$E,2,FALSE)," ",VLOOKUP(S164,'[1]zawodnicy'!$A:$E,3,FALSE)," - ",VLOOKUP(S164,'[1]zawodnicy'!$A:$E,4,FALSE)),"")</f>
        <v>Krystian BUKOWIŃSKI - Dubiecko</v>
      </c>
      <c r="V164" s="105">
        <v>48</v>
      </c>
      <c r="W164" s="297" t="str">
        <f>IF(ISBLANK(V164),IF(AND(LEN(S164)&gt;0,LEN(S165)=0),VLOOKUP(S164,'[1]zawodnicy'!$A:$E,3,FALSE),IF(AND(LEN(S165)&gt;0,LEN(S164)=0),VLOOKUP(S165,'[1]zawodnicy'!$A:$E,3,FALSE),"")),IF((VLOOKUP(V164,'[1]plan gier'!$X:$AF,7,FALSE))="","",VLOOKUP(VLOOKUP(V164,'[1]plan gier'!$X:$AF,7,FALSE),'[1]zawodnicy'!$A:$E,3,FALSE)))</f>
        <v>SŁOMBA</v>
      </c>
      <c r="X164" s="298"/>
      <c r="Y164" s="298"/>
      <c r="Z164" s="29"/>
      <c r="AA164" s="29"/>
      <c r="AB164" s="106"/>
      <c r="AC164" s="29"/>
      <c r="AD164" s="29"/>
      <c r="AE164" s="29"/>
      <c r="AF164" s="29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10:63" ht="11.25" customHeight="1">
      <c r="J165" s="93"/>
      <c r="N165" s="94"/>
      <c r="O165" s="95"/>
      <c r="P165" s="94"/>
      <c r="Q165" s="87" t="s">
        <v>39</v>
      </c>
      <c r="S165" s="302" t="str">
        <f>UPPER(IF(N155="","",IF(TYPE(VLOOKUP(1&amp;2&amp;N155,I:J,2,FALSE))=2,VLOOKUP(1&amp;2&amp;N155,I:J,2,FALSE),"")))</f>
        <v>S0020</v>
      </c>
      <c r="T165" s="303"/>
      <c r="U165" s="104" t="str">
        <f>IF(S165&lt;&gt;"",CONCATENATE(VLOOKUP(S165,'[1]zawodnicy'!$A:$E,2,FALSE)," ",VLOOKUP(S165,'[1]zawodnicy'!$A:$E,3,FALSE)," - ",VLOOKUP(S165,'[1]zawodnicy'!$A:$E,4,FALSE)),"")</f>
        <v>Mariusz SŁOMBA - Mielec</v>
      </c>
      <c r="V165" s="107"/>
      <c r="W165" s="299" t="str">
        <f>IF(ISBLANK(V164),"",IF((VLOOKUP(V164,'[1]plan gier'!$X:$AF,7,FALSE))="",L164,VLOOKUP(V164,'[1]plan gier'!$X:$AF,9,FALSE)))</f>
        <v>21:8,21:18</v>
      </c>
      <c r="X165" s="300"/>
      <c r="Y165" s="301"/>
      <c r="Z165" s="29"/>
      <c r="AA165" s="29"/>
      <c r="AB165" s="106"/>
      <c r="AC165" s="29"/>
      <c r="AD165" s="29"/>
      <c r="AE165" s="29"/>
      <c r="AF165" s="29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1:63" ht="11.25" customHeight="1">
      <c r="A166" s="98">
        <f>Y166</f>
        <v>50</v>
      </c>
      <c r="B166" s="2" t="str">
        <f>F164</f>
        <v>S0020</v>
      </c>
      <c r="D166" s="2" t="str">
        <f>F168</f>
        <v>M0008</v>
      </c>
      <c r="F166" s="2" t="str">
        <f>IF(A166=0,IF(AND(LEN(B166)&gt;0,LEN(D166)=0),B166,IF(AND(LEN(D166)&gt;0,LEN(B166)=0),D166,"")),IF((VLOOKUP(A166,'[1]plan gier'!$X:$AF,7,FALSE))="","",VLOOKUP(VLOOKUP(A166,'[1]plan gier'!$X:$AF,7,FALSE),'[1]zawodnicy'!$A:$E,1,FALSE)))</f>
        <v>S0020</v>
      </c>
      <c r="H166" s="2" t="str">
        <f>IF(A166=0,"",IF((VLOOKUP(A166,'[1]plan gier'!$X:$AF,7,FALSE))="","",VLOOKUP(A166,'[1]plan gier'!$X:$AF,9,FALSE)))</f>
        <v>21:16,21:18</v>
      </c>
      <c r="J166" s="93"/>
      <c r="L166" s="40" t="str">
        <f>IF(A166=0,"",IF(VLOOKUP(A166,'[1]plan gier'!A:S,19,FALSE)="","",VLOOKUP(A166,'[1]plan gier'!A:S,19,FALSE)))</f>
        <v>godz.13:00</v>
      </c>
      <c r="M166" s="2" t="str">
        <f>N155</f>
        <v>Runners Up</v>
      </c>
      <c r="N166" s="94"/>
      <c r="O166" s="95"/>
      <c r="P166" s="94"/>
      <c r="S166" s="99"/>
      <c r="T166" s="100"/>
      <c r="U166" s="2"/>
      <c r="V166" s="2"/>
      <c r="W166" s="101"/>
      <c r="X166" s="29"/>
      <c r="Y166" s="102">
        <v>50</v>
      </c>
      <c r="Z166" s="298" t="str">
        <f>IF(ISBLANK(Y166),IF(AND(LEN(W164)&gt;0,LEN(W168)=0),W164,IF(AND(LEN(W168)&gt;0,LEN(W164)=0),W168,"")),IF((VLOOKUP(Y166,'[1]plan gier'!$X:$AF,7,FALSE))="","",VLOOKUP(VLOOKUP(Y166,'[1]plan gier'!$X:$AF,7,FALSE),'[1]zawodnicy'!$A:$E,3,FALSE)))</f>
        <v>SŁOMBA</v>
      </c>
      <c r="AA166" s="298"/>
      <c r="AB166" s="304"/>
      <c r="AC166" s="29"/>
      <c r="AD166" s="29"/>
      <c r="AE166" s="29"/>
      <c r="AF166" s="29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10:63" ht="11.25" customHeight="1">
      <c r="J167" s="93"/>
      <c r="N167" s="94"/>
      <c r="O167" s="95"/>
      <c r="P167" s="94"/>
      <c r="S167" s="99"/>
      <c r="T167" s="100"/>
      <c r="U167" s="2"/>
      <c r="V167" s="2"/>
      <c r="W167" s="101"/>
      <c r="X167" s="29"/>
      <c r="Y167" s="103"/>
      <c r="Z167" s="306" t="str">
        <f>IF(ISBLANK(Y166),"",IF((VLOOKUP(Y166,'[1]plan gier'!$X:$AF,7,FALSE))="",L166,VLOOKUP(Y166,'[1]plan gier'!$X:$AF,9,FALSE)))</f>
        <v>21:16,21:18</v>
      </c>
      <c r="AA167" s="306"/>
      <c r="AB167" s="306"/>
      <c r="AC167" s="29"/>
      <c r="AD167" s="29"/>
      <c r="AE167" s="29"/>
      <c r="AF167" s="29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1:63" ht="11.25" customHeight="1">
      <c r="A168" s="92">
        <f>V168</f>
        <v>0</v>
      </c>
      <c r="B168" s="2" t="str">
        <f>IF(TYPE(S168)=16,"",S168)</f>
        <v>M0008</v>
      </c>
      <c r="F168" s="2" t="str">
        <f>IF(A168=0,IF(AND(LEN(B168)&gt;0,LEN(D168)=0),VLOOKUP(B168,'[1]zawodnicy'!$A:$E,1,FALSE),IF(AND(LEN(D168)&gt;0,LEN(B168)=0),VLOOKUP(D168,'[1]zawodnicy'!$A:$E,1,FALSE),"")),IF((VLOOKUP(A168,'[1]plan gier'!$X:$AF,7,FALSE))="","",VLOOKUP(VLOOKUP(A168,'[1]plan gier'!$X:$AF,7,FALSE),'[1]zawodnicy'!$A:$E,1,FALSE)))</f>
        <v>M0008</v>
      </c>
      <c r="H168" s="2">
        <f>IF(A168=0,"",IF((VLOOKUP(A168,'[1]plan gier'!$X:$AF,7,FALSE))="","",VLOOKUP(A168,'[1]plan gier'!$X:$AF,9,FALSE)))</f>
      </c>
      <c r="J168" s="93"/>
      <c r="L168" s="40">
        <f>IF(A168=0,"",IF(VLOOKUP(A168,'[1]plan gier'!A:S,19,FALSE)="","",VLOOKUP(A168,'[1]plan gier'!A:S,19,FALSE)))</f>
      </c>
      <c r="M168" s="2" t="str">
        <f>N155</f>
        <v>Runners Up</v>
      </c>
      <c r="N168" s="94"/>
      <c r="O168" s="95"/>
      <c r="P168" s="94"/>
      <c r="Q168" s="289" t="s">
        <v>37</v>
      </c>
      <c r="R168" s="290"/>
      <c r="S168" s="291" t="str">
        <f>UPPER(IF(N155="","",IF(TYPE(VLOOKUP(1&amp;3&amp;N155,I:J,2,FALSE))=2,VLOOKUP(1&amp;3&amp;N155,I:J,2,FALSE),"")))</f>
        <v>M0008</v>
      </c>
      <c r="T168" s="292"/>
      <c r="U168" s="292" t="str">
        <f>IF(S168&lt;&gt;"",CONCATENATE(VLOOKUP(S168,'[1]zawodnicy'!$A:$E,2,FALSE)," ",VLOOKUP(S168,'[1]zawodnicy'!$A:$E,3,FALSE)," - ",VLOOKUP(S168,'[1]zawodnicy'!$A:$E,4,FALSE)),"")</f>
        <v>Tadeusz MICHALIK - Tarnów</v>
      </c>
      <c r="V168" s="295"/>
      <c r="W168" s="297" t="str">
        <f>IF(ISBLANK(V168),IF(AND(LEN(S168)&gt;0,LEN(S169)=0),VLOOKUP(S168,'[1]zawodnicy'!$A:$E,3,FALSE),IF(AND(LEN(S169)&gt;0,LEN(S168)=0),VLOOKUP(S169,'[1]zawodnicy'!$A:$E,3,FALSE),"")),IF((VLOOKUP(V168,'[1]plan gier'!$X:$AF,7,FALSE))="","",VLOOKUP(VLOOKUP(V168,'[1]plan gier'!$X:$AF,7,FALSE),'[1]zawodnicy'!$A:$E,3,FALSE)))</f>
        <v>MICHALIK</v>
      </c>
      <c r="X168" s="298"/>
      <c r="Y168" s="304"/>
      <c r="Z168" s="2"/>
      <c r="AA168" s="2"/>
      <c r="AB168" s="2"/>
      <c r="AC168" s="101"/>
      <c r="AD168" s="101"/>
      <c r="AE168" s="101"/>
      <c r="AF168" s="29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10:63" ht="11.25" customHeight="1">
      <c r="J169" s="93"/>
      <c r="N169" s="94"/>
      <c r="O169" s="95"/>
      <c r="P169" s="94"/>
      <c r="Q169" s="289"/>
      <c r="R169" s="290"/>
      <c r="S169" s="293"/>
      <c r="T169" s="294"/>
      <c r="U169" s="294"/>
      <c r="V169" s="296"/>
      <c r="W169" s="305"/>
      <c r="X169" s="306"/>
      <c r="Y169" s="306"/>
      <c r="Z169" s="2"/>
      <c r="AA169" s="2"/>
      <c r="AB169" s="2"/>
      <c r="AC169" s="29"/>
      <c r="AD169" s="29"/>
      <c r="AE169" s="29"/>
      <c r="AF169" s="29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ht="11.25" customHeight="1"/>
    <row r="171" ht="12" customHeight="1">
      <c r="U171" s="11" t="s">
        <v>48</v>
      </c>
    </row>
    <row r="172" spans="10:63" ht="11.25" customHeight="1">
      <c r="J172" s="2"/>
      <c r="K172" s="2"/>
      <c r="L172" s="2"/>
      <c r="M172" s="115"/>
      <c r="N172" s="116" t="str">
        <f>M174</f>
        <v>Runners Up</v>
      </c>
      <c r="O172" s="89"/>
      <c r="P172" s="89"/>
      <c r="Q172" s="1"/>
      <c r="R172" s="1"/>
      <c r="S172" s="306" t="s">
        <v>49</v>
      </c>
      <c r="T172" s="306"/>
      <c r="U172" s="306"/>
      <c r="V172" s="306"/>
      <c r="W172" s="306" t="s">
        <v>50</v>
      </c>
      <c r="X172" s="306"/>
      <c r="Y172" s="306"/>
      <c r="Z172" s="306"/>
      <c r="AA172" s="306"/>
      <c r="AB172" s="306"/>
      <c r="AC172" s="101"/>
      <c r="AD172" s="101"/>
      <c r="AE172" s="101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10:63" ht="11.25" customHeight="1">
      <c r="J173" s="2"/>
      <c r="K173" s="2"/>
      <c r="L173" s="2"/>
      <c r="N173" s="116" t="s">
        <v>51</v>
      </c>
      <c r="P173" s="89"/>
      <c r="Q173" s="1"/>
      <c r="R173" s="1"/>
      <c r="S173" s="1"/>
      <c r="T173" s="90"/>
      <c r="U173" s="91"/>
      <c r="V173" s="91"/>
      <c r="W173" s="91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1:63" ht="11.25" customHeight="1">
      <c r="A174" s="92">
        <f>V174</f>
        <v>51</v>
      </c>
      <c r="B174" s="2" t="str">
        <f>IF(S174="","",S174)</f>
        <v>K0012</v>
      </c>
      <c r="D174" s="2" t="str">
        <f>IF(S175="","",S175)</f>
        <v>M0008</v>
      </c>
      <c r="F174" s="2" t="str">
        <f>IF(A174=0,IF(AND(LEN(B174)&gt;0,LEN(D174)=0),VLOOKUP(B174,'[1]zawodnicy'!$A:$E,1,FALSE),IF(AND(LEN(D174)&gt;0,LEN(B174)=0),VLOOKUP(D174,'[1]zawodnicy'!$A:$E,1,FALSE),"")),IF((VLOOKUP(A174,'[1]plan gier'!$X:$AF,7,FALSE))="","",VLOOKUP(VLOOKUP(A174,'[1]plan gier'!$X:$AF,7,FALSE),'[1]zawodnicy'!$A:$E,1,FALSE)))</f>
        <v>K0012</v>
      </c>
      <c r="H174" s="2" t="str">
        <f>IF(A174=0,"",IF((VLOOKUP(A174,'[1]plan gier'!$X:$AF,7,FALSE))="","",VLOOKUP(A174,'[1]plan gier'!$X:$AF,9,FALSE)))</f>
        <v>20:22,21:17,21:17</v>
      </c>
      <c r="J174" s="93"/>
      <c r="K174" s="93"/>
      <c r="L174" s="117" t="str">
        <f>IF(A174=0,"",IF(VLOOKUP(A174,'[1]plan gier'!A:S,19,FALSE)="","",VLOOKUP(A174,'[1]plan gier'!A:S,19,FALSE)))</f>
        <v>godz.13:00</v>
      </c>
      <c r="M174" s="2" t="str">
        <f>IF(N174="","",VLOOKUP(N174,A:M,13,FALSE))</f>
        <v>Runners Up</v>
      </c>
      <c r="N174" s="118">
        <v>49</v>
      </c>
      <c r="O174" s="119"/>
      <c r="P174" s="94"/>
      <c r="S174" s="302" t="str">
        <f>IF(N174="","",IF(LEN(VLOOKUP(N174,A:M,6,FALSE))=0,"",IF(VLOOKUP(N174,A:M,6,FALSE)=VLOOKUP(N174,A:M,2,FALSE),VLOOKUP(N174,A:M,4,FALSE),VLOOKUP(N174,A:M,2,FALSE))))</f>
        <v>K0012</v>
      </c>
      <c r="T174" s="303"/>
      <c r="U174" s="104" t="str">
        <f>IF(S174&lt;&gt;"",CONCATENATE(VLOOKUP(S174,'[1]zawodnicy'!$A:$E,2,FALSE)," ",VLOOKUP(S174,'[1]zawodnicy'!$A:$E,3,FALSE)," - ",VLOOKUP(S174,'[1]zawodnicy'!$A:$E,4,FALSE)),"")</f>
        <v>Piotr KOTERBA - Rzeszów</v>
      </c>
      <c r="V174" s="105">
        <v>51</v>
      </c>
      <c r="W174" s="297" t="str">
        <f>IF(F174="","",VLOOKUP(F174,'[1]zawodnicy'!$A:$D,3,FALSE))</f>
        <v>KOTERBA</v>
      </c>
      <c r="X174" s="298"/>
      <c r="Y174" s="298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10:63" ht="11.25" customHeight="1">
      <c r="J175" s="93"/>
      <c r="K175" s="93"/>
      <c r="L175" s="93"/>
      <c r="N175" s="118">
        <v>50</v>
      </c>
      <c r="O175" s="119"/>
      <c r="P175" s="94"/>
      <c r="S175" s="302" t="str">
        <f>IF(N175="","",IF(LEN(VLOOKUP(N175,A:M,6,FALSE))=0,"",IF(VLOOKUP(N175,A:M,6,FALSE)=VLOOKUP(N175,A:M,2,FALSE),VLOOKUP(N175,A:M,4,FALSE),VLOOKUP(N175,A:M,2,FALSE))))</f>
        <v>M0008</v>
      </c>
      <c r="T175" s="303"/>
      <c r="U175" s="104" t="str">
        <f>IF(S175&lt;&gt;"",CONCATENATE(VLOOKUP(S175,'[1]zawodnicy'!$A:$E,2,FALSE)," ",VLOOKUP(S175,'[1]zawodnicy'!$A:$E,3,FALSE)," - ",VLOOKUP(S175,'[1]zawodnicy'!$A:$E,4,FALSE)),"")</f>
        <v>Tadeusz MICHALIK - Tarnów</v>
      </c>
      <c r="V175" s="107"/>
      <c r="W175" s="299" t="str">
        <f>IF(H174="",L174,H174)</f>
        <v>20:22,21:17,21:17</v>
      </c>
      <c r="X175" s="300"/>
      <c r="Y175" s="300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ht="11.25" customHeight="1"/>
    <row r="177" spans="13:31" ht="11.25" customHeight="1">
      <c r="M177" s="9"/>
      <c r="N177" s="10" t="s">
        <v>68</v>
      </c>
      <c r="Q177" s="253" t="str">
        <f>"Gra "&amp;N177</f>
        <v>Gra Kobiet</v>
      </c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</row>
    <row r="178" ht="11.25" customHeight="1" thickBot="1"/>
    <row r="179" spans="14:31" s="12" customFormat="1" ht="11.25" customHeight="1" thickBot="1">
      <c r="N179" s="149"/>
      <c r="O179" s="150"/>
      <c r="P179" s="150"/>
      <c r="Q179" s="257" t="s">
        <v>7</v>
      </c>
      <c r="R179" s="257"/>
      <c r="S179" s="310" t="s">
        <v>8</v>
      </c>
      <c r="T179" s="151"/>
      <c r="U179" s="255" t="s">
        <v>2</v>
      </c>
      <c r="V179" s="309"/>
      <c r="W179" s="152">
        <v>1</v>
      </c>
      <c r="X179" s="153">
        <v>2</v>
      </c>
      <c r="Y179" s="154">
        <v>3</v>
      </c>
      <c r="Z179" s="155">
        <v>4</v>
      </c>
      <c r="AA179" s="156">
        <v>5</v>
      </c>
      <c r="AB179" s="19" t="s">
        <v>3</v>
      </c>
      <c r="AC179" s="20" t="s">
        <v>4</v>
      </c>
      <c r="AD179" s="123" t="s">
        <v>5</v>
      </c>
      <c r="AE179" s="21" t="s">
        <v>6</v>
      </c>
    </row>
    <row r="180" spans="10:32" s="12" customFormat="1" ht="11.25" customHeight="1">
      <c r="J180" s="23"/>
      <c r="K180" s="23"/>
      <c r="L180" s="23"/>
      <c r="N180" s="24" t="s">
        <v>68</v>
      </c>
      <c r="O180" s="8"/>
      <c r="P180" s="23"/>
      <c r="Q180" s="257"/>
      <c r="R180" s="257"/>
      <c r="S180" s="310"/>
      <c r="T180" s="259">
        <v>1</v>
      </c>
      <c r="U180" s="262">
        <f>IF(AND(N181&lt;&gt;"",N182&lt;&gt;""),CONCATENATE(VLOOKUP(N181,'[1]zawodnicy'!$A:$E,1,FALSE)," ",VLOOKUP(N181,'[1]zawodnicy'!$A:$E,2,FALSE)," ",VLOOKUP(N181,'[1]zawodnicy'!$A:$E,3,FALSE)," - ",VLOOKUP(N181,'[1]zawodnicy'!$A:$E,4,FALSE)),"")</f>
      </c>
      <c r="V180" s="320"/>
      <c r="W180" s="321"/>
      <c r="X180" s="26" t="str">
        <f>IF(SUM(AO192:AP192)=0,"",AO192&amp;":"&amp;AP192)</f>
        <v>13:21</v>
      </c>
      <c r="Y180" s="157" t="str">
        <f>IF(SUM(AO185:AP185)=0,"",AO185&amp;":"&amp;AP185)</f>
        <v>5:21</v>
      </c>
      <c r="Z180" s="157" t="str">
        <f>IF(SUM(AO189:AP189)=0,"",AP189&amp;":"&amp;AO189)</f>
        <v>21:2</v>
      </c>
      <c r="AA180" s="158" t="str">
        <f>IF(SUM(AO188:AP188)=0,"",AP188&amp;":"&amp;AO188)</f>
        <v>15:21</v>
      </c>
      <c r="AB180" s="324" t="str">
        <f>IF(SUM(AX183:BE183)=0,"",BF183&amp;":"&amp;BG183)</f>
        <v>112:121</v>
      </c>
      <c r="AC180" s="264" t="str">
        <f>IF(SUM(AX183:BE183)=0,"",BH183&amp;":"&amp;BI183)</f>
        <v>3:5</v>
      </c>
      <c r="AD180" s="264" t="str">
        <f>IF(SUM(AX183:BE183)=0,"",BJ183&amp;":"&amp;BK183)</f>
        <v>1:2</v>
      </c>
      <c r="AE180" s="267">
        <f>IF(SUM(BJ183:BJ187)&gt;0,BL183,"")</f>
        <v>3</v>
      </c>
      <c r="AF180" s="159"/>
    </row>
    <row r="181" spans="14:32" s="12" customFormat="1" ht="11.25" customHeight="1" thickBot="1">
      <c r="N181" s="30" t="s">
        <v>32</v>
      </c>
      <c r="O181" s="23"/>
      <c r="P181" s="23"/>
      <c r="Q181" s="257"/>
      <c r="R181" s="257"/>
      <c r="S181" s="310"/>
      <c r="T181" s="260"/>
      <c r="U181" s="271" t="str">
        <f>IF(AND(N181&lt;&gt;"",N182=""),CONCATENATE(VLOOKUP(N181,'[1]zawodnicy'!$A:$E,1,FALSE)," ",VLOOKUP(N181,'[1]zawodnicy'!$A:$E,2,FALSE)," ",VLOOKUP(N181,'[1]zawodnicy'!$A:$E,3,FALSE)," - ",VLOOKUP(N181,'[1]zawodnicy'!$A:$E,4,FALSE)),"")</f>
        <v>D0008 Patrycja DOMAŃSKA - Rzeszów</v>
      </c>
      <c r="V181" s="311"/>
      <c r="W181" s="322"/>
      <c r="X181" s="33" t="str">
        <f>IF(SUM(AQ192:AR192)=0,"",AQ192&amp;":"&amp;AR192)</f>
        <v>14:9</v>
      </c>
      <c r="Y181" s="160" t="str">
        <f>IF(SUM(AQ185:AR185)=0,"",AQ185&amp;":"&amp;AR185)</f>
        <v>7:21</v>
      </c>
      <c r="Z181" s="160" t="str">
        <f>IF(SUM(AQ189:AR189)=0,"",AR189&amp;":"&amp;AQ189)</f>
        <v>21:5</v>
      </c>
      <c r="AA181" s="161" t="str">
        <f>IF(SUM(AQ188:AR188)=0,"",AR188&amp;":"&amp;AQ188)</f>
        <v>16:21</v>
      </c>
      <c r="AB181" s="325"/>
      <c r="AC181" s="265"/>
      <c r="AD181" s="265"/>
      <c r="AE181" s="268"/>
      <c r="AF181" s="159"/>
    </row>
    <row r="182" spans="10:64" s="12" customFormat="1" ht="11.25" customHeight="1" thickBot="1">
      <c r="J182" s="23"/>
      <c r="K182" s="23"/>
      <c r="L182" s="23"/>
      <c r="N182" s="35"/>
      <c r="O182" s="23"/>
      <c r="P182" s="23"/>
      <c r="T182" s="261"/>
      <c r="U182" s="273">
        <f>IF(N182&lt;&gt;"",CONCATENATE(VLOOKUP(N182,'[1]zawodnicy'!$A:$E,1,FALSE)," ",VLOOKUP(N182,'[1]zawodnicy'!$A:$E,2,FALSE)," ",VLOOKUP(N182,'[1]zawodnicy'!$A:$E,3,FALSE)," - ",VLOOKUP(N182,'[1]zawodnicy'!$A:$E,4,FALSE)),"")</f>
      </c>
      <c r="V182" s="312"/>
      <c r="W182" s="323"/>
      <c r="X182" s="36">
        <f>IF(SUM(AS192:AT192)=0,"",AS192&amp;":"&amp;AT192)</f>
      </c>
      <c r="Y182" s="162">
        <f>IF(SUM(AS185:AT185)=0,"",AS185&amp;":"&amp;AT185)</f>
      </c>
      <c r="Z182" s="162">
        <f>IF(SUM(AS189:AT189)=0,"",AT189&amp;":"&amp;AS189)</f>
      </c>
      <c r="AA182" s="163">
        <f>IF(SUM(AS188:AT188)=0,"",AT188&amp;":"&amp;AS188)</f>
      </c>
      <c r="AB182" s="326"/>
      <c r="AC182" s="266"/>
      <c r="AD182" s="266"/>
      <c r="AE182" s="269"/>
      <c r="AF182" s="159"/>
      <c r="AG182" s="159"/>
      <c r="AH182" s="327" t="s">
        <v>12</v>
      </c>
      <c r="AI182" s="328"/>
      <c r="AJ182" s="329" t="s">
        <v>13</v>
      </c>
      <c r="AK182" s="328"/>
      <c r="AL182" s="329" t="s">
        <v>14</v>
      </c>
      <c r="AM182" s="330"/>
      <c r="AN182" s="159"/>
      <c r="AO182" s="331" t="s">
        <v>12</v>
      </c>
      <c r="AP182" s="332"/>
      <c r="AQ182" s="332" t="s">
        <v>13</v>
      </c>
      <c r="AR182" s="332"/>
      <c r="AS182" s="332" t="s">
        <v>14</v>
      </c>
      <c r="AT182" s="333"/>
      <c r="AU182" s="159"/>
      <c r="AV182" s="334">
        <v>1</v>
      </c>
      <c r="AW182" s="335"/>
      <c r="AX182" s="335">
        <v>2</v>
      </c>
      <c r="AY182" s="335"/>
      <c r="AZ182" s="335">
        <v>3</v>
      </c>
      <c r="BA182" s="335"/>
      <c r="BB182" s="335">
        <v>4</v>
      </c>
      <c r="BC182" s="336"/>
      <c r="BD182" s="314">
        <v>5</v>
      </c>
      <c r="BE182" s="315"/>
      <c r="BF182" s="334" t="s">
        <v>3</v>
      </c>
      <c r="BG182" s="337"/>
      <c r="BH182" s="334" t="s">
        <v>4</v>
      </c>
      <c r="BI182" s="337"/>
      <c r="BJ182" s="334" t="s">
        <v>5</v>
      </c>
      <c r="BK182" s="336"/>
      <c r="BL182" s="164" t="s">
        <v>6</v>
      </c>
    </row>
    <row r="183" spans="1:71" s="12" customFormat="1" ht="11.25" customHeight="1">
      <c r="A183" s="12">
        <f aca="true" t="shared" si="15" ref="A183:A192">S183</f>
        <v>53</v>
      </c>
      <c r="B183" s="12" t="str">
        <f>IF(N184="","",N184)</f>
        <v>O0006</v>
      </c>
      <c r="C183" s="12">
        <f>IF(N185="","",N185)</f>
      </c>
      <c r="D183" s="12" t="str">
        <f>IF(N193="","",N193)</f>
        <v>B0020</v>
      </c>
      <c r="E183" s="12">
        <f>IF(N194="","",N194)</f>
      </c>
      <c r="J183" s="23"/>
      <c r="K183" s="23"/>
      <c r="M183" s="12" t="str">
        <f>N180</f>
        <v>Kobiet</v>
      </c>
      <c r="N183" s="28"/>
      <c r="O183" s="23"/>
      <c r="P183" s="23"/>
      <c r="Q183" s="40">
        <f>IF(AN183&gt;0,"",IF(A183=0,"",IF(VLOOKUP(A183,'[1]plan gier'!A:S,19,FALSE)="","",VLOOKUP(A183,'[1]plan gier'!A:S,19,FALSE))))</f>
      </c>
      <c r="R183" s="165" t="s">
        <v>69</v>
      </c>
      <c r="S183" s="42">
        <v>53</v>
      </c>
      <c r="T183" s="279">
        <v>2</v>
      </c>
      <c r="U183" s="280">
        <f>IF(AND(N184&lt;&gt;"",N185&lt;&gt;""),CONCATENATE(VLOOKUP(N184,'[1]zawodnicy'!$A:$E,1,FALSE)," ",VLOOKUP(N184,'[1]zawodnicy'!$A:$E,2,FALSE)," ",VLOOKUP(N184,'[1]zawodnicy'!$A:$E,3,FALSE)," - ",VLOOKUP(N184,'[1]zawodnicy'!$A:$E,4,FALSE)),"")</f>
      </c>
      <c r="V183" s="316"/>
      <c r="W183" s="166" t="str">
        <f>IF(SUM(AO192:AP192)=0,"",AP192&amp;":"&amp;AO192)</f>
        <v>21:13</v>
      </c>
      <c r="X183" s="338"/>
      <c r="Y183" s="167" t="str">
        <f>IF(SUM(AO190:AP190)=0,"",AO190&amp;":"&amp;AP190)</f>
        <v>6:21</v>
      </c>
      <c r="Z183" s="167" t="str">
        <f>IF(SUM(AO187:AP187)=0,"",AP187&amp;":"&amp;AO187)</f>
        <v>21:8</v>
      </c>
      <c r="AA183" s="168" t="str">
        <f>IF(SUM(AO183:AP183)=0,"",AO183&amp;":"&amp;AP183)</f>
        <v>7:21</v>
      </c>
      <c r="AB183" s="341" t="str">
        <f>IF(SUM(AV184:AW184,AZ184:BE184)=0,"",BF184&amp;":"&amp;BG184)</f>
        <v>97:124</v>
      </c>
      <c r="AC183" s="282" t="str">
        <f>IF(SUM(AV184:AW184,AZ184:BE184)=0,"",BH184&amp;":"&amp;BI184)</f>
        <v>3:5</v>
      </c>
      <c r="AD183" s="282" t="str">
        <f>IF(SUM(AV184:AW184,AZ184:BE184)=0,"",BJ184&amp;":"&amp;BK184)</f>
        <v>1:2</v>
      </c>
      <c r="AE183" s="283">
        <f>IF(SUM(BJ183:BJ187)&gt;0,BL184,"")</f>
        <v>4</v>
      </c>
      <c r="AF183" s="159"/>
      <c r="AG183" s="169" t="s">
        <v>69</v>
      </c>
      <c r="AH183" s="170">
        <f>IF(ISBLANK(S183),"",VLOOKUP(S183,'[1]plan gier'!$X:$AN,12,FALSE))</f>
        <v>7</v>
      </c>
      <c r="AI183" s="171">
        <f>IF(ISBLANK(S183),"",VLOOKUP(S183,'[1]plan gier'!$X:$AN,13,FALSE))</f>
        <v>21</v>
      </c>
      <c r="AJ183" s="171">
        <f>IF(ISBLANK(S183),"",VLOOKUP(S183,'[1]plan gier'!$X:$AN,14,FALSE))</f>
        <v>4</v>
      </c>
      <c r="AK183" s="171">
        <f>IF(ISBLANK(S183),"",VLOOKUP(S183,'[1]plan gier'!$X:$AN,15,FALSE))</f>
        <v>21</v>
      </c>
      <c r="AL183" s="171">
        <f>IF(ISBLANK(S183),"",VLOOKUP(S183,'[1]plan gier'!$X:$AN,16,FALSE))</f>
        <v>0</v>
      </c>
      <c r="AM183" s="172">
        <f>IF(ISBLANK(S183),"",VLOOKUP(S183,'[1]plan gier'!$X:$AN,17,FALSE))</f>
        <v>0</v>
      </c>
      <c r="AN183" s="173">
        <f aca="true" t="shared" si="16" ref="AN183:AN192">SUM(AO183:AT183)</f>
        <v>53</v>
      </c>
      <c r="AO183" s="174">
        <f aca="true" t="shared" si="17" ref="AO183:AT192">IF(AH183="",0,AH183)</f>
        <v>7</v>
      </c>
      <c r="AP183" s="171">
        <f t="shared" si="17"/>
        <v>21</v>
      </c>
      <c r="AQ183" s="175">
        <f t="shared" si="17"/>
        <v>4</v>
      </c>
      <c r="AR183" s="171">
        <f t="shared" si="17"/>
        <v>21</v>
      </c>
      <c r="AS183" s="175">
        <f t="shared" si="17"/>
        <v>0</v>
      </c>
      <c r="AT183" s="172">
        <f t="shared" si="17"/>
        <v>0</v>
      </c>
      <c r="AU183" s="176">
        <v>1</v>
      </c>
      <c r="AV183" s="342"/>
      <c r="AW183" s="343"/>
      <c r="AX183" s="177">
        <f>IF(AO192&gt;AP192,1,0)+IF(AQ192&gt;AR192,1,0)+IF(AS192&gt;AT192,1,0)</f>
        <v>1</v>
      </c>
      <c r="AY183" s="177">
        <f>AV184</f>
        <v>1</v>
      </c>
      <c r="AZ183" s="177">
        <f>IF(AO185&gt;AP185,1,0)+IF(AQ185&gt;AR185,1,0)+IF(AS185&gt;AT185,1,0)</f>
        <v>0</v>
      </c>
      <c r="BA183" s="171">
        <f>AV185</f>
        <v>2</v>
      </c>
      <c r="BB183" s="178">
        <f>IF(AP189&gt;AO189,1,0)+IF(AR189&gt;AQ189,1,0)+IF(AT189&gt;AS189,1,0)</f>
        <v>2</v>
      </c>
      <c r="BC183" s="179">
        <f>AV186</f>
        <v>0</v>
      </c>
      <c r="BD183" s="171">
        <f>IF(AP188&gt;AO188,1,0)+IF(AR188&gt;AQ188,1,0)+IF(AT188&gt;AS188,1,0)</f>
        <v>0</v>
      </c>
      <c r="BE183" s="172">
        <f>AV187</f>
        <v>2</v>
      </c>
      <c r="BF183" s="170">
        <f>AO185+AQ185+AS185+AP188+AR188+AT188++AP189+AR189+AT189+AO192+AQ192+AS192</f>
        <v>112</v>
      </c>
      <c r="BG183" s="180">
        <f>AP185+AR185+AT185+AO188+AQ188+AS188+AO189+AQ189+AS189+AP192+AR192+AT192</f>
        <v>121</v>
      </c>
      <c r="BH183" s="170">
        <f>AX183+AZ183+BB183+BD183</f>
        <v>3</v>
      </c>
      <c r="BI183" s="172">
        <f>AY183+BA183+BC183+BE183</f>
        <v>5</v>
      </c>
      <c r="BJ183" s="170">
        <f>IF(AX183&gt;AY183,1,0)+IF(AZ183&gt;BA183,1,0)+IF(BB183&gt;BC183,1,0)+IF(BD183&gt;BE183,1,0)</f>
        <v>1</v>
      </c>
      <c r="BK183" s="172">
        <f>IF(AY183&gt;AX183,1,0)+IF(BA183&gt;AZ183,1,0)+IF(BC183&gt;BB183,1,0)+IF(BE183&gt;BD183,1,0)</f>
        <v>2</v>
      </c>
      <c r="BL183" s="181">
        <f>IF(BJ183+BK183=0,"",IF(BM183=MAX(BM183:BM187),1,IF(BM183=LARGE(BM183:BM187,2),2,IF(BM183=LARGE(BM183:BM187,3),3,IF(BM183=MIN(BM183:BM187),5,4)))))</f>
        <v>3</v>
      </c>
      <c r="BM183" s="182">
        <f>IF(BJ183+BK183&lt;&gt;0,BJ183-BK183+(BH183-BI183)/100+(BF183-BG183)/10000,-4)</f>
        <v>-1.0209</v>
      </c>
      <c r="BQ183" s="183"/>
      <c r="BR183" s="183"/>
      <c r="BS183" s="183"/>
    </row>
    <row r="184" spans="1:71" s="12" customFormat="1" ht="11.25" customHeight="1">
      <c r="A184" s="12">
        <f t="shared" si="15"/>
        <v>54</v>
      </c>
      <c r="B184" s="12" t="str">
        <f>IF(N187="","",N187)</f>
        <v>S0019</v>
      </c>
      <c r="C184" s="12">
        <f>IF(N188="","",N188)</f>
      </c>
      <c r="D184" s="12" t="str">
        <f>IF(N190="","",N190)</f>
        <v>S0037</v>
      </c>
      <c r="E184" s="12">
        <f>IF(N191="","",N191)</f>
      </c>
      <c r="M184" s="12" t="str">
        <f>N180</f>
        <v>Kobiet</v>
      </c>
      <c r="N184" s="30" t="s">
        <v>26</v>
      </c>
      <c r="O184" s="23"/>
      <c r="P184" s="23"/>
      <c r="Q184" s="40">
        <f>IF(AN184&gt;0,"",IF(A184=0,"",IF(VLOOKUP(A184,'[1]plan gier'!A:S,19,FALSE)="","",VLOOKUP(A184,'[1]plan gier'!A:S,19,FALSE))))</f>
      </c>
      <c r="R184" s="165" t="s">
        <v>58</v>
      </c>
      <c r="S184" s="42">
        <v>54</v>
      </c>
      <c r="T184" s="260"/>
      <c r="U184" s="271" t="str">
        <f>IF(AND(N184&lt;&gt;"",N185=""),CONCATENATE(VLOOKUP(N184,'[1]zawodnicy'!$A:$E,1,FALSE)," ",VLOOKUP(N184,'[1]zawodnicy'!$A:$E,2,FALSE)," ",VLOOKUP(N184,'[1]zawodnicy'!$A:$E,3,FALSE)," - ",VLOOKUP(N184,'[1]zawodnicy'!$A:$E,4,FALSE)),"")</f>
        <v>O0006 Jessica ORZECHOWICZ - Tarnowiec</v>
      </c>
      <c r="V184" s="311"/>
      <c r="W184" s="184" t="str">
        <f>IF(SUM(AQ192:AR192)=0,"",AR192&amp;":"&amp;AQ192)</f>
        <v>9:14</v>
      </c>
      <c r="X184" s="339"/>
      <c r="Y184" s="160" t="str">
        <f>IF(SUM(AQ190:AR190)=0,"",AQ190&amp;":"&amp;AR190)</f>
        <v>8:21</v>
      </c>
      <c r="Z184" s="160" t="str">
        <f>IF(SUM(AQ187:AR187)=0,"",AR187&amp;":"&amp;AQ187)</f>
        <v>21:5</v>
      </c>
      <c r="AA184" s="161" t="str">
        <f>IF(SUM(AQ183:AR183)=0,"",AQ183&amp;":"&amp;AR183)</f>
        <v>4:21</v>
      </c>
      <c r="AB184" s="325"/>
      <c r="AC184" s="265"/>
      <c r="AD184" s="265"/>
      <c r="AE184" s="268"/>
      <c r="AF184" s="159"/>
      <c r="AG184" s="169" t="s">
        <v>58</v>
      </c>
      <c r="AH184" s="185">
        <f>IF(ISBLANK(S184),"",VLOOKUP(S184,'[1]plan gier'!$X:$AN,12,FALSE))</f>
        <v>21</v>
      </c>
      <c r="AI184" s="186">
        <f>IF(ISBLANK(S184),"",VLOOKUP(S184,'[1]plan gier'!$X:$AN,13,FALSE))</f>
        <v>2</v>
      </c>
      <c r="AJ184" s="186">
        <f>IF(ISBLANK(S184),"",VLOOKUP(S184,'[1]plan gier'!$X:$AN,14,FALSE))</f>
        <v>21</v>
      </c>
      <c r="AK184" s="186">
        <f>IF(ISBLANK(S184),"",VLOOKUP(S184,'[1]plan gier'!$X:$AN,15,FALSE))</f>
        <v>4</v>
      </c>
      <c r="AL184" s="186">
        <f>IF(ISBLANK(S184),"",VLOOKUP(S184,'[1]plan gier'!$X:$AN,16,FALSE))</f>
        <v>0</v>
      </c>
      <c r="AM184" s="187">
        <f>IF(ISBLANK(S184),"",VLOOKUP(S184,'[1]plan gier'!$X:$AN,17,FALSE))</f>
        <v>0</v>
      </c>
      <c r="AN184" s="173">
        <f t="shared" si="16"/>
        <v>48</v>
      </c>
      <c r="AO184" s="188">
        <f t="shared" si="17"/>
        <v>21</v>
      </c>
      <c r="AP184" s="186">
        <f t="shared" si="17"/>
        <v>2</v>
      </c>
      <c r="AQ184" s="189">
        <f t="shared" si="17"/>
        <v>21</v>
      </c>
      <c r="AR184" s="186">
        <f t="shared" si="17"/>
        <v>4</v>
      </c>
      <c r="AS184" s="189">
        <f t="shared" si="17"/>
        <v>0</v>
      </c>
      <c r="AT184" s="187">
        <f t="shared" si="17"/>
        <v>0</v>
      </c>
      <c r="AU184" s="176">
        <v>2</v>
      </c>
      <c r="AV184" s="185">
        <f>IF(AO192&lt;AP192,1,0)+IF(AQ192&lt;AR192,1,0)+IF(AS192&lt;AT192,1,0)</f>
        <v>1</v>
      </c>
      <c r="AW184" s="186">
        <f>AX183</f>
        <v>1</v>
      </c>
      <c r="AX184" s="190"/>
      <c r="AY184" s="191"/>
      <c r="AZ184" s="186">
        <f>IF(AO190&gt;AP190,1,0)+IF(AQ190&gt;AR190,1,0)+IF(AS190&gt;AT190,1,0)</f>
        <v>0</v>
      </c>
      <c r="BA184" s="186">
        <f>AX185</f>
        <v>2</v>
      </c>
      <c r="BB184" s="192">
        <f>IF(AP187&gt;AO187,1,0)+IF(AR187&gt;AQ187,1,0)+IF(AT187&gt;AS187,1,0)</f>
        <v>2</v>
      </c>
      <c r="BC184" s="193">
        <f>AX186</f>
        <v>0</v>
      </c>
      <c r="BD184" s="186">
        <f>IF(AO183&gt;AP183,1,0)+IF(AQ183&gt;AR183,1,0)+IF(AS183&gt;AT183,1,0)</f>
        <v>0</v>
      </c>
      <c r="BE184" s="187">
        <f>AX187</f>
        <v>2</v>
      </c>
      <c r="BF184" s="185">
        <f>AO183+AQ183+AS183+AP187+AR187+AT187++AO190+AQ190+AS190++AP192+AR192+AT192</f>
        <v>97</v>
      </c>
      <c r="BG184" s="193">
        <f>AP183+AR183+AT183+AO187+AQ187+AS187+AP190+AR190+AT190+AO192+AQ192+AS192</f>
        <v>124</v>
      </c>
      <c r="BH184" s="185">
        <f>AV184+AZ184+BB184+BD184</f>
        <v>3</v>
      </c>
      <c r="BI184" s="187">
        <f>AW184+BA184+BC184+BE184</f>
        <v>5</v>
      </c>
      <c r="BJ184" s="185">
        <f>IF(AV184&gt;AW184,1,0)+IF(AZ184&gt;BA184,1,0)+IF(BB184&gt;BC184,1,0)+IF(BD184&gt;BE184,1,0)</f>
        <v>1</v>
      </c>
      <c r="BK184" s="187">
        <f>IF(AW184&gt;AV184,1,0)+IF(BA184&gt;AZ184,1,0)+IF(BC184&gt;BB184,1,0)+IF(BE184&gt;BD184,1,0)</f>
        <v>2</v>
      </c>
      <c r="BL184" s="194">
        <f>IF(BJ184+BK184=0,"",IF(BM184=MAX(BM183:BM187),1,IF(BM184=LARGE(BM183:BM187,2),2,IF(BM184=LARGE(BM183:BM187,3),3,IF(BM184=MIN(BM183:BM187),5,4)))))</f>
        <v>4</v>
      </c>
      <c r="BM184" s="182">
        <f>IF(BJ184+BK184&lt;&gt;0,BJ184-BK184+(BH184-BI184)/100+(BF184-BG184)/10000,-4)</f>
        <v>-1.0227</v>
      </c>
      <c r="BQ184" s="183"/>
      <c r="BR184" s="183"/>
      <c r="BS184" s="183"/>
    </row>
    <row r="185" spans="1:71" s="12" customFormat="1" ht="11.25" customHeight="1">
      <c r="A185" s="12">
        <f t="shared" si="15"/>
        <v>55</v>
      </c>
      <c r="B185" s="12" t="str">
        <f>IF(N181="","",N181)</f>
        <v>D0008</v>
      </c>
      <c r="C185" s="12">
        <f>IF(N182="","",N182)</f>
      </c>
      <c r="D185" s="12" t="str">
        <f>IF(N187="","",N187)</f>
        <v>S0019</v>
      </c>
      <c r="E185" s="12">
        <f>IF(N188="","",N188)</f>
      </c>
      <c r="J185" s="23"/>
      <c r="K185" s="23"/>
      <c r="M185" s="12" t="str">
        <f>N180</f>
        <v>Kobiet</v>
      </c>
      <c r="N185" s="35"/>
      <c r="O185" s="23"/>
      <c r="P185" s="23"/>
      <c r="Q185" s="40">
        <f>IF(AN185&gt;0,"",IF(A185=0,"",IF(VLOOKUP(A185,'[1]plan gier'!A:S,19,FALSE)="","",VLOOKUP(A185,'[1]plan gier'!A:S,19,FALSE))))</f>
      </c>
      <c r="R185" s="195" t="s">
        <v>15</v>
      </c>
      <c r="S185" s="42">
        <v>55</v>
      </c>
      <c r="T185" s="261"/>
      <c r="U185" s="273">
        <f>IF(N185&lt;&gt;"",CONCATENATE(VLOOKUP(N185,'[1]zawodnicy'!$A:$E,1,FALSE)," ",VLOOKUP(N185,'[1]zawodnicy'!$A:$E,2,FALSE)," ",VLOOKUP(N185,'[1]zawodnicy'!$A:$E,3,FALSE)," - ",VLOOKUP(N185,'[1]zawodnicy'!$A:$E,4,FALSE)),"")</f>
      </c>
      <c r="V185" s="312"/>
      <c r="W185" s="196">
        <f>IF(SUM(AS192:AT192)=0,"",AT192&amp;":"&amp;AS192)</f>
      </c>
      <c r="X185" s="340"/>
      <c r="Y185" s="162">
        <f>IF(SUM(AS190:AT190)=0,"",AS190&amp;":"&amp;AT190)</f>
      </c>
      <c r="Z185" s="162">
        <f>IF(SUM(AS187:AT187)=0,"",AT187&amp;":"&amp;AS187)</f>
      </c>
      <c r="AA185" s="163">
        <f>IF(SUM(AS183:AT183)=0,"",AS183&amp;":"&amp;AT183)</f>
      </c>
      <c r="AB185" s="326"/>
      <c r="AC185" s="266"/>
      <c r="AD185" s="266"/>
      <c r="AE185" s="269"/>
      <c r="AF185" s="159"/>
      <c r="AG185" s="197" t="s">
        <v>15</v>
      </c>
      <c r="AH185" s="185">
        <f>IF(ISBLANK(S185),"",VLOOKUP(S185,'[1]plan gier'!$X:$AN,12,FALSE))</f>
        <v>5</v>
      </c>
      <c r="AI185" s="186">
        <f>IF(ISBLANK(S185),"",VLOOKUP(S185,'[1]plan gier'!$X:$AN,13,FALSE))</f>
        <v>21</v>
      </c>
      <c r="AJ185" s="186">
        <f>IF(ISBLANK(S185),"",VLOOKUP(S185,'[1]plan gier'!$X:$AN,14,FALSE))</f>
        <v>7</v>
      </c>
      <c r="AK185" s="186">
        <f>IF(ISBLANK(S185),"",VLOOKUP(S185,'[1]plan gier'!$X:$AN,15,FALSE))</f>
        <v>21</v>
      </c>
      <c r="AL185" s="186">
        <f>IF(ISBLANK(S185),"",VLOOKUP(S185,'[1]plan gier'!$X:$AN,16,FALSE))</f>
        <v>0</v>
      </c>
      <c r="AM185" s="187">
        <f>IF(ISBLANK(S185),"",VLOOKUP(S185,'[1]plan gier'!$X:$AN,17,FALSE))</f>
        <v>0</v>
      </c>
      <c r="AN185" s="173">
        <f t="shared" si="16"/>
        <v>54</v>
      </c>
      <c r="AO185" s="188">
        <f t="shared" si="17"/>
        <v>5</v>
      </c>
      <c r="AP185" s="186">
        <f t="shared" si="17"/>
        <v>21</v>
      </c>
      <c r="AQ185" s="189">
        <f t="shared" si="17"/>
        <v>7</v>
      </c>
      <c r="AR185" s="186">
        <f t="shared" si="17"/>
        <v>21</v>
      </c>
      <c r="AS185" s="189">
        <f t="shared" si="17"/>
        <v>0</v>
      </c>
      <c r="AT185" s="187">
        <f t="shared" si="17"/>
        <v>0</v>
      </c>
      <c r="AU185" s="176">
        <v>3</v>
      </c>
      <c r="AV185" s="185">
        <f>IF(AO185&lt;AP185,1,0)+IF(AQ185&lt;AR185,1,0)+IF(AS185&lt;AT185,1,0)</f>
        <v>2</v>
      </c>
      <c r="AW185" s="186">
        <f>AZ183</f>
        <v>0</v>
      </c>
      <c r="AX185" s="186">
        <f>IF(AO190&lt;AP190,1,0)+IF(AQ190&lt;AR190,1,0)+IF(AS190&lt;AT190,1,0)</f>
        <v>2</v>
      </c>
      <c r="AY185" s="186">
        <f>AZ184</f>
        <v>0</v>
      </c>
      <c r="AZ185" s="190"/>
      <c r="BA185" s="191"/>
      <c r="BB185" s="186">
        <f>IF(AO184&gt;AP184,1,0)+IF(AQ184&gt;AR184,1,0)+IF(AS184&gt;AT184,1,0)</f>
        <v>2</v>
      </c>
      <c r="BC185" s="193">
        <f>AZ186</f>
        <v>0</v>
      </c>
      <c r="BD185" s="186">
        <f>IF(AP191&gt;AO191,1,0)+IF(AR191&gt;AQ191,1,0)+IF(AT191&gt;AS191,1,0)</f>
        <v>2</v>
      </c>
      <c r="BE185" s="187">
        <f>AZ187</f>
        <v>0</v>
      </c>
      <c r="BF185" s="198">
        <f>AO184+AQ184+AS184+AP185+AR185+AT185+AP190+AR190+AT190+AP191+AR191+AT191</f>
        <v>168</v>
      </c>
      <c r="BG185" s="199">
        <f>AP184+AR184+AT184+AO185+AQ185+AS185+AO190+AQ190+AS190+AO191+AQ191+AS191</f>
        <v>59</v>
      </c>
      <c r="BH185" s="198">
        <f>AV185+AX185+BB185+BD185</f>
        <v>8</v>
      </c>
      <c r="BI185" s="200">
        <f>AW185+AY185+BC185+BE185</f>
        <v>0</v>
      </c>
      <c r="BJ185" s="185">
        <f>IF(AV185&gt;AW185,1,0)+IF(AX185&gt;AY185,1,0)+IF(BB185&gt;BC185,1,0)+IF(BD185&gt;BE185,1,0)</f>
        <v>4</v>
      </c>
      <c r="BK185" s="187">
        <f>IF(AW185&gt;AV185,1,0)+IF(AY185&gt;AX185,1,0)+IF(BC185&gt;BB185,1,0)+IF(BE185&gt;BD185,1,0)</f>
        <v>0</v>
      </c>
      <c r="BL185" s="194">
        <f>IF(BJ185+BK185=0,"",IF(BM185=MAX(BM183:BM187),1,IF(BM185=LARGE(BM183:BM187,2),2,IF(BM185=LARGE(BM183:BM187,3),3,IF(BM185=MIN(BM183:BM187),5,4)))))</f>
        <v>1</v>
      </c>
      <c r="BM185" s="182">
        <f>IF(BJ185+BK185&lt;&gt;0,BJ185-BK185+(BH185-BI185)/100+(BF185-BG185)/10000,-4)</f>
        <v>4.0909</v>
      </c>
      <c r="BQ185" s="183"/>
      <c r="BR185" s="183"/>
      <c r="BS185" s="183"/>
    </row>
    <row r="186" spans="1:71" s="12" customFormat="1" ht="11.25" customHeight="1" thickBot="1">
      <c r="A186" s="12">
        <f t="shared" si="15"/>
        <v>56</v>
      </c>
      <c r="B186" s="12" t="str">
        <f>IF(N190="","",N190)</f>
        <v>S0037</v>
      </c>
      <c r="C186" s="12">
        <f>IF(N191="","",N191)</f>
      </c>
      <c r="D186" s="12" t="str">
        <f>IF(N193="","",N193)</f>
        <v>B0020</v>
      </c>
      <c r="E186" s="12">
        <f>IF(N194="","",N194)</f>
      </c>
      <c r="J186" s="23"/>
      <c r="K186" s="23"/>
      <c r="M186" s="12" t="str">
        <f>N180</f>
        <v>Kobiet</v>
      </c>
      <c r="N186" s="28"/>
      <c r="O186" s="23"/>
      <c r="P186" s="23"/>
      <c r="Q186" s="40">
        <f>IF(AN186&gt;0,"",IF(A186=0,"",IF(VLOOKUP(A186,'[1]plan gier'!A:S,19,FALSE)="","",VLOOKUP(A186,'[1]plan gier'!A:S,19,FALSE))))</f>
      </c>
      <c r="R186" s="195" t="s">
        <v>70</v>
      </c>
      <c r="S186" s="42">
        <v>56</v>
      </c>
      <c r="T186" s="279">
        <v>3</v>
      </c>
      <c r="U186" s="280">
        <f>IF(AND(N187&lt;&gt;"",N188&lt;&gt;""),CONCATENATE(VLOOKUP(N187,'[1]zawodnicy'!$A:$E,1,FALSE)," ",VLOOKUP(N187,'[1]zawodnicy'!$A:$E,2,FALSE)," ",VLOOKUP(N187,'[1]zawodnicy'!$A:$E,3,FALSE)," - ",VLOOKUP(N187,'[1]zawodnicy'!$A:$E,4,FALSE)),"")</f>
      </c>
      <c r="V186" s="316"/>
      <c r="W186" s="166" t="str">
        <f>IF(SUM(AO185:AP185)=0,"",AP185&amp;":"&amp;AO185)</f>
        <v>21:5</v>
      </c>
      <c r="X186" s="167" t="str">
        <f>IF(SUM(AO190:AP190)=0,"",AP190&amp;":"&amp;AO190)</f>
        <v>21:6</v>
      </c>
      <c r="Y186" s="338"/>
      <c r="Z186" s="167" t="str">
        <f>IF(SUM(AO184:AP184)=0,"",AO184&amp;":"&amp;AP184)</f>
        <v>21:2</v>
      </c>
      <c r="AA186" s="168" t="str">
        <f>IF(SUM(AO191:AP191)=0,"",AP191&amp;":"&amp;AO191)</f>
        <v>21:17</v>
      </c>
      <c r="AB186" s="341" t="str">
        <f>IF(SUM(AV185:AY185,BB185:BE185)=0,"",BF185&amp;":"&amp;BG185)</f>
        <v>168:59</v>
      </c>
      <c r="AC186" s="282" t="str">
        <f>IF(SUM(AV185:AY185,BB185:BE185)=0,"",BH185&amp;":"&amp;BI185)</f>
        <v>8:0</v>
      </c>
      <c r="AD186" s="282" t="str">
        <f>IF(SUM(AV185:AY185,BB185:BE185)=0,"",BJ185&amp;":"&amp;BK185)</f>
        <v>4:0</v>
      </c>
      <c r="AE186" s="283">
        <f>IF(SUM(BJ183:BJ187)&gt;0,BL185,"")</f>
        <v>1</v>
      </c>
      <c r="AF186" s="159"/>
      <c r="AG186" s="197" t="s">
        <v>70</v>
      </c>
      <c r="AH186" s="185">
        <f>IF(ISBLANK(S186),"",VLOOKUP(S186,'[1]plan gier'!$X:$AN,12,FALSE))</f>
        <v>4</v>
      </c>
      <c r="AI186" s="186">
        <f>IF(ISBLANK(S186),"",VLOOKUP(S186,'[1]plan gier'!$X:$AN,13,FALSE))</f>
        <v>21</v>
      </c>
      <c r="AJ186" s="186">
        <f>IF(ISBLANK(S186),"",VLOOKUP(S186,'[1]plan gier'!$X:$AN,14,FALSE))</f>
        <v>2</v>
      </c>
      <c r="AK186" s="186">
        <f>IF(ISBLANK(S186),"",VLOOKUP(S186,'[1]plan gier'!$X:$AN,15,FALSE))</f>
        <v>21</v>
      </c>
      <c r="AL186" s="186">
        <f>IF(ISBLANK(S186),"",VLOOKUP(S186,'[1]plan gier'!$X:$AN,16,FALSE))</f>
        <v>0</v>
      </c>
      <c r="AM186" s="187">
        <f>IF(ISBLANK(S186),"",VLOOKUP(S186,'[1]plan gier'!$X:$AN,17,FALSE))</f>
        <v>0</v>
      </c>
      <c r="AN186" s="173">
        <f t="shared" si="16"/>
        <v>48</v>
      </c>
      <c r="AO186" s="188">
        <f t="shared" si="17"/>
        <v>4</v>
      </c>
      <c r="AP186" s="186">
        <f t="shared" si="17"/>
        <v>21</v>
      </c>
      <c r="AQ186" s="189">
        <f t="shared" si="17"/>
        <v>2</v>
      </c>
      <c r="AR186" s="186">
        <f t="shared" si="17"/>
        <v>21</v>
      </c>
      <c r="AS186" s="189">
        <f t="shared" si="17"/>
        <v>0</v>
      </c>
      <c r="AT186" s="187">
        <f t="shared" si="17"/>
        <v>0</v>
      </c>
      <c r="AU186" s="176">
        <v>4</v>
      </c>
      <c r="AV186" s="185">
        <f>IF(AP189&lt;AO189,1,0)+IF(AR189&lt;AQ189,1,0)+IF(AT189&lt;AS189,1,0)</f>
        <v>0</v>
      </c>
      <c r="AW186" s="186">
        <f>BB183</f>
        <v>2</v>
      </c>
      <c r="AX186" s="186">
        <f>IF(AP187&lt;AO187,1,0)+IF(AR187&lt;AQ187,1,0)+IF(AT187&lt;AS187,1,0)</f>
        <v>0</v>
      </c>
      <c r="AY186" s="186">
        <f>BB184</f>
        <v>2</v>
      </c>
      <c r="AZ186" s="186">
        <f>IF(AO184&lt;AP184,1,0)+IF(AQ184&lt;AR184,1,0)+IF(AS184&lt;AT184,1,0)</f>
        <v>0</v>
      </c>
      <c r="BA186" s="186">
        <f>BB185</f>
        <v>2</v>
      </c>
      <c r="BB186" s="201"/>
      <c r="BC186" s="202"/>
      <c r="BD186" s="186">
        <f>IF(AO186&gt;AP186,1,0)+IF(AQ186&gt;AR186,1,0)+IF(AS186&gt;AT186,1,0)</f>
        <v>0</v>
      </c>
      <c r="BE186" s="187">
        <f>BB187</f>
        <v>2</v>
      </c>
      <c r="BF186" s="185">
        <f>AP184+AR184+AT184++AO186+AQ186+AS186+AO187+AQ187+AS187+AO189+AQ189+AS189</f>
        <v>32</v>
      </c>
      <c r="BG186" s="193">
        <f>AO184+AQ184+AS184+AP186+AR186+AT186+AP187+AR187+AT187+AP189+AR189+AT189</f>
        <v>168</v>
      </c>
      <c r="BH186" s="185">
        <f>AV186+AX186+AZ186+BD186</f>
        <v>0</v>
      </c>
      <c r="BI186" s="187">
        <f>AW186+AY186+BA186+BE186</f>
        <v>8</v>
      </c>
      <c r="BJ186" s="185">
        <f>IF(AV186&gt;AW186,1,0)+IF(AX186&gt;AY186,1,0)+IF(AZ186&gt;BA186,1,0)+IF(BD186&gt;BE186,1,0)</f>
        <v>0</v>
      </c>
      <c r="BK186" s="187">
        <f>IF(AW186&gt;AV186,1,0)+IF(AY186&gt;AX186,1,0)+IF(BA186&gt;AZ186,1,0)+IF(BE186&gt;BD186,1,0)</f>
        <v>4</v>
      </c>
      <c r="BL186" s="194">
        <f>IF(BJ186+BK186=0,"",IF(BM186=MAX(BM183:BM187),1,IF(BM186=LARGE(BM183:BM187,2),2,IF(BM186=LARGE(BM183:BM187,3),3,IF(BM186=MIN(BM183:BM187),5,4)))))</f>
        <v>5</v>
      </c>
      <c r="BM186" s="182">
        <f>IF(BJ186+BK186&lt;&gt;0,BJ186-BK186+(BH186-BI186)/100+(BF186-BG186)/10000,-4)</f>
        <v>-4.0936</v>
      </c>
      <c r="BQ186" s="183"/>
      <c r="BR186" s="183"/>
      <c r="BS186" s="183"/>
    </row>
    <row r="187" spans="1:71" s="12" customFormat="1" ht="11.25" customHeight="1" thickBot="1">
      <c r="A187" s="12">
        <f t="shared" si="15"/>
        <v>57</v>
      </c>
      <c r="B187" s="12" t="str">
        <f>IF(N190="","",N190)</f>
        <v>S0037</v>
      </c>
      <c r="C187" s="12">
        <f>IF(N191="","",N191)</f>
      </c>
      <c r="D187" s="12" t="str">
        <f>IF(N184="","",N184)</f>
        <v>O0006</v>
      </c>
      <c r="E187" s="12">
        <f>IF(N185="","",N185)</f>
      </c>
      <c r="M187" s="12" t="str">
        <f>N180</f>
        <v>Kobiet</v>
      </c>
      <c r="N187" s="30" t="s">
        <v>71</v>
      </c>
      <c r="O187" s="23"/>
      <c r="P187" s="23"/>
      <c r="Q187" s="40">
        <f>IF(AN187&gt;0,"",IF(A187=0,"",IF(VLOOKUP(A187,'[1]plan gier'!A:S,19,FALSE)="","",VLOOKUP(A187,'[1]plan gier'!A:S,19,FALSE))))</f>
      </c>
      <c r="R187" s="195" t="s">
        <v>72</v>
      </c>
      <c r="S187" s="42">
        <v>57</v>
      </c>
      <c r="T187" s="260"/>
      <c r="U187" s="271" t="str">
        <f>IF(AND(N187&lt;&gt;"",N188=""),CONCATENATE(VLOOKUP(N187,'[1]zawodnicy'!$A:$E,1,FALSE)," ",VLOOKUP(N187,'[1]zawodnicy'!$A:$E,2,FALSE)," ",VLOOKUP(N187,'[1]zawodnicy'!$A:$E,3,FALSE)," - ",VLOOKUP(N187,'[1]zawodnicy'!$A:$E,4,FALSE)),"")</f>
        <v>S0019 Katarzyna  SŁOMBA - Mielec</v>
      </c>
      <c r="V187" s="311"/>
      <c r="W187" s="184" t="str">
        <f>IF(SUM(AQ185:AR185)=0,"",AR185&amp;":"&amp;AQ185)</f>
        <v>21:7</v>
      </c>
      <c r="X187" s="160" t="str">
        <f>IF(SUM(AQ190:AR190)=0,"",AR190&amp;":"&amp;AQ190)</f>
        <v>21:8</v>
      </c>
      <c r="Y187" s="339"/>
      <c r="Z187" s="160" t="str">
        <f>IF(SUM(AQ184:AR184)=0,"",AQ184&amp;":"&amp;AR184)</f>
        <v>21:4</v>
      </c>
      <c r="AA187" s="161" t="str">
        <f>IF(SUM(AQ191:AR191)=0,"",AR191&amp;":"&amp;AQ191)</f>
        <v>21:10</v>
      </c>
      <c r="AB187" s="325"/>
      <c r="AC187" s="265"/>
      <c r="AD187" s="265"/>
      <c r="AE187" s="268"/>
      <c r="AF187" s="159"/>
      <c r="AG187" s="197" t="s">
        <v>72</v>
      </c>
      <c r="AH187" s="185">
        <f>IF(ISBLANK(S187),"",VLOOKUP(S187,'[1]plan gier'!$X:$AN,12,FALSE))</f>
        <v>8</v>
      </c>
      <c r="AI187" s="186">
        <f>IF(ISBLANK(S187),"",VLOOKUP(S187,'[1]plan gier'!$X:$AN,13,FALSE))</f>
        <v>21</v>
      </c>
      <c r="AJ187" s="186">
        <f>IF(ISBLANK(S187),"",VLOOKUP(S187,'[1]plan gier'!$X:$AN,14,FALSE))</f>
        <v>5</v>
      </c>
      <c r="AK187" s="186">
        <f>IF(ISBLANK(S187),"",VLOOKUP(S187,'[1]plan gier'!$X:$AN,15,FALSE))</f>
        <v>21</v>
      </c>
      <c r="AL187" s="186">
        <f>IF(ISBLANK(S187),"",VLOOKUP(S187,'[1]plan gier'!$X:$AN,16,FALSE))</f>
        <v>0</v>
      </c>
      <c r="AM187" s="187">
        <f>IF(ISBLANK(S187),"",VLOOKUP(S187,'[1]plan gier'!$X:$AN,17,FALSE))</f>
        <v>0</v>
      </c>
      <c r="AN187" s="173">
        <f t="shared" si="16"/>
        <v>55</v>
      </c>
      <c r="AO187" s="188">
        <f t="shared" si="17"/>
        <v>8</v>
      </c>
      <c r="AP187" s="186">
        <f t="shared" si="17"/>
        <v>21</v>
      </c>
      <c r="AQ187" s="189">
        <f t="shared" si="17"/>
        <v>5</v>
      </c>
      <c r="AR187" s="186">
        <f t="shared" si="17"/>
        <v>21</v>
      </c>
      <c r="AS187" s="189">
        <f t="shared" si="17"/>
        <v>0</v>
      </c>
      <c r="AT187" s="187">
        <f t="shared" si="17"/>
        <v>0</v>
      </c>
      <c r="AU187" s="176">
        <v>5</v>
      </c>
      <c r="AV187" s="203">
        <f>IF(AP188&lt;AO188,1,0)+IF(AR188&lt;AQ188,1,0)+IF(AT188&lt;AS188,1,0)</f>
        <v>2</v>
      </c>
      <c r="AW187" s="204">
        <f>BD183</f>
        <v>0</v>
      </c>
      <c r="AX187" s="204">
        <f>IF(AO183&lt;AP183,1,0)+IF(AQ183&lt;AR183,1,0)+IF(AS183&lt;AT183,1,0)</f>
        <v>2</v>
      </c>
      <c r="AY187" s="204">
        <f>BD184</f>
        <v>0</v>
      </c>
      <c r="AZ187" s="204">
        <f>IF(AP191&lt;AO191,1,0)+IF(AR191&lt;AQ191,1,0)+IF(AT191&lt;AS191,1,0)</f>
        <v>0</v>
      </c>
      <c r="BA187" s="204">
        <f>BD185</f>
        <v>2</v>
      </c>
      <c r="BB187" s="204">
        <f>IF(AO186&lt;AP186,1,0)+IF(AQ186&lt;AR186,1,0)+IF(AS186&lt;AT186,1,0)</f>
        <v>2</v>
      </c>
      <c r="BC187" s="204">
        <f>BD186</f>
        <v>0</v>
      </c>
      <c r="BD187" s="145"/>
      <c r="BE187" s="205"/>
      <c r="BF187" s="206">
        <f>AP183+AR183+AT183+AP186+AR186+AT186+AO188+AQ188+AS188+AO191+AQ191+AS191</f>
        <v>153</v>
      </c>
      <c r="BG187" s="207">
        <f>AO183+AQ183+AS183+AO186+AQ186+AS186+AP188+AR188+AT188+AP191+AR191+AT191</f>
        <v>90</v>
      </c>
      <c r="BH187" s="206">
        <f>AV187+AX187+AZ187+BB187</f>
        <v>6</v>
      </c>
      <c r="BI187" s="208">
        <f>AW187+AY187+BA187+BC187</f>
        <v>2</v>
      </c>
      <c r="BJ187" s="206">
        <f>IF(AV187&gt;AW187,1,0)+IF(AX187&gt;AY187,1,0)+IF(AZ187&gt;BA187,1,0)+IF(BB187&gt;BC187,1,0)</f>
        <v>3</v>
      </c>
      <c r="BK187" s="208">
        <f>IF(AW187&gt;AV187,1,0)+IF(AY187&gt;AX187,1,0)+IF(BA187&gt;AZ187,1,0)+IF(BC187&gt;BB187,1,0)</f>
        <v>1</v>
      </c>
      <c r="BL187" s="209">
        <f>IF(BJ187+BK187=0,"",IF(BM187=MAX(BM183:BM187),1,IF(BM187=LARGE(BM183:BM187,2),2,IF(BM187=LARGE(BM183:BM187,3),3,IF(BM187=MIN(BM183:BM187),5,4)))))</f>
        <v>2</v>
      </c>
      <c r="BM187" s="182">
        <f>IF(BJ187+BK187&lt;&gt;0,BJ187-BK187+(BH187-BI187)/100+(BF187-BG187)/10000,-4)</f>
        <v>2.0463</v>
      </c>
      <c r="BQ187" s="183"/>
      <c r="BR187" s="183"/>
      <c r="BS187" s="183"/>
    </row>
    <row r="188" spans="1:65" s="12" customFormat="1" ht="11.25" customHeight="1">
      <c r="A188" s="12">
        <f t="shared" si="15"/>
        <v>58</v>
      </c>
      <c r="B188" s="12" t="str">
        <f>IF(N193="","",N193)</f>
        <v>B0020</v>
      </c>
      <c r="C188" s="12">
        <f>IF(N194="","",N194)</f>
      </c>
      <c r="D188" s="12" t="str">
        <f>IF(N181="","",N181)</f>
        <v>D0008</v>
      </c>
      <c r="E188" s="12">
        <f>IF(N182="","",N182)</f>
      </c>
      <c r="J188" s="23"/>
      <c r="K188" s="23"/>
      <c r="M188" s="12" t="str">
        <f>N180</f>
        <v>Kobiet</v>
      </c>
      <c r="N188" s="35"/>
      <c r="O188" s="23"/>
      <c r="P188" s="23"/>
      <c r="Q188" s="40">
        <f>IF(AN188&gt;0,"",IF(A188=0,"",IF(VLOOKUP(A188,'[1]plan gier'!A:S,19,FALSE)="","",VLOOKUP(A188,'[1]plan gier'!A:S,19,FALSE))))</f>
      </c>
      <c r="R188" s="195" t="s">
        <v>73</v>
      </c>
      <c r="S188" s="42">
        <v>58</v>
      </c>
      <c r="T188" s="261"/>
      <c r="U188" s="273">
        <f>IF(N188&lt;&gt;"",CONCATENATE(VLOOKUP(N188,'[1]zawodnicy'!$A:$E,1,FALSE)," ",VLOOKUP(N188,'[1]zawodnicy'!$A:$E,2,FALSE)," ",VLOOKUP(N188,'[1]zawodnicy'!$A:$E,3,FALSE)," - ",VLOOKUP(N188,'[1]zawodnicy'!$A:$E,4,FALSE)),"")</f>
      </c>
      <c r="V188" s="312"/>
      <c r="W188" s="196">
        <f>IF(SUM(AS185:AT185)=0,"",AT185&amp;":"&amp;AS185)</f>
      </c>
      <c r="X188" s="162">
        <f>IF(SUM(AS190:AT190)=0,"",AT190&amp;":"&amp;AS190)</f>
      </c>
      <c r="Y188" s="340"/>
      <c r="Z188" s="162">
        <f>IF(SUM(AS184:AT184)=0,"",AS184&amp;":"&amp;AT184)</f>
      </c>
      <c r="AA188" s="163">
        <f>IF(SUM(AS191:AT191)=0,"",AT191&amp;":"&amp;AS191)</f>
      </c>
      <c r="AB188" s="326"/>
      <c r="AC188" s="266"/>
      <c r="AD188" s="266"/>
      <c r="AE188" s="269"/>
      <c r="AF188" s="159"/>
      <c r="AG188" s="197" t="s">
        <v>73</v>
      </c>
      <c r="AH188" s="185">
        <f>IF(ISBLANK(S188),"",VLOOKUP(S188,'[1]plan gier'!$X:$AN,12,FALSE))</f>
        <v>21</v>
      </c>
      <c r="AI188" s="186">
        <f>IF(ISBLANK(S188),"",VLOOKUP(S188,'[1]plan gier'!$X:$AN,13,FALSE))</f>
        <v>15</v>
      </c>
      <c r="AJ188" s="186">
        <f>IF(ISBLANK(S188),"",VLOOKUP(S188,'[1]plan gier'!$X:$AN,14,FALSE))</f>
        <v>21</v>
      </c>
      <c r="AK188" s="186">
        <f>IF(ISBLANK(S188),"",VLOOKUP(S188,'[1]plan gier'!$X:$AN,15,FALSE))</f>
        <v>16</v>
      </c>
      <c r="AL188" s="186">
        <f>IF(ISBLANK(S188),"",VLOOKUP(S188,'[1]plan gier'!$X:$AN,16,FALSE))</f>
        <v>0</v>
      </c>
      <c r="AM188" s="187">
        <f>IF(ISBLANK(S188),"",VLOOKUP(S188,'[1]plan gier'!$X:$AN,17,FALSE))</f>
        <v>0</v>
      </c>
      <c r="AN188" s="173">
        <f t="shared" si="16"/>
        <v>73</v>
      </c>
      <c r="AO188" s="188">
        <f t="shared" si="17"/>
        <v>21</v>
      </c>
      <c r="AP188" s="186">
        <f t="shared" si="17"/>
        <v>15</v>
      </c>
      <c r="AQ188" s="189">
        <f t="shared" si="17"/>
        <v>21</v>
      </c>
      <c r="AR188" s="186">
        <f t="shared" si="17"/>
        <v>16</v>
      </c>
      <c r="AS188" s="189">
        <f t="shared" si="17"/>
        <v>0</v>
      </c>
      <c r="AT188" s="187">
        <f t="shared" si="17"/>
        <v>0</v>
      </c>
      <c r="AU188" s="159"/>
      <c r="AV188" s="210"/>
      <c r="AW188" s="210"/>
      <c r="AX188" s="210"/>
      <c r="AY188" s="210"/>
      <c r="AZ188" s="210"/>
      <c r="BA188" s="210"/>
      <c r="BF188" s="12">
        <f aca="true" t="shared" si="18" ref="BF188:BK188">SUM(BF183:BF187)</f>
        <v>562</v>
      </c>
      <c r="BG188" s="12">
        <f t="shared" si="18"/>
        <v>562</v>
      </c>
      <c r="BH188" s="12">
        <f t="shared" si="18"/>
        <v>20</v>
      </c>
      <c r="BI188" s="12">
        <f t="shared" si="18"/>
        <v>20</v>
      </c>
      <c r="BJ188" s="12">
        <f t="shared" si="18"/>
        <v>9</v>
      </c>
      <c r="BK188" s="12">
        <f t="shared" si="18"/>
        <v>9</v>
      </c>
      <c r="BM188" s="211">
        <f>SUM(BM183:BM187)</f>
        <v>0</v>
      </c>
    </row>
    <row r="189" spans="1:53" s="12" customFormat="1" ht="11.25" customHeight="1">
      <c r="A189" s="12">
        <f t="shared" si="15"/>
        <v>59</v>
      </c>
      <c r="B189" s="12" t="str">
        <f>IF(N190="","",N190)</f>
        <v>S0037</v>
      </c>
      <c r="C189" s="12">
        <f>IF(N191="","",N191)</f>
      </c>
      <c r="D189" s="12" t="str">
        <f>IF(N181="","",N181)</f>
        <v>D0008</v>
      </c>
      <c r="E189" s="12">
        <f>IF(N182="","",N182)</f>
      </c>
      <c r="J189" s="23"/>
      <c r="K189" s="23"/>
      <c r="M189" s="12" t="str">
        <f>N180</f>
        <v>Kobiet</v>
      </c>
      <c r="N189" s="28"/>
      <c r="O189" s="23"/>
      <c r="P189" s="23"/>
      <c r="Q189" s="40">
        <f>IF(AN189&gt;0,"",IF(A189=0,"",IF(VLOOKUP(A189,'[1]plan gier'!A:S,19,FALSE)="","",VLOOKUP(A189,'[1]plan gier'!A:S,19,FALSE))))</f>
      </c>
      <c r="R189" s="195" t="s">
        <v>74</v>
      </c>
      <c r="S189" s="42">
        <v>59</v>
      </c>
      <c r="T189" s="279">
        <v>4</v>
      </c>
      <c r="U189" s="280">
        <f>IF(AND(N190&lt;&gt;"",N191&lt;&gt;""),CONCATENATE(VLOOKUP(N190,'[1]zawodnicy'!$A:$E,1,FALSE)," ",VLOOKUP(N190,'[1]zawodnicy'!$A:$E,2,FALSE)," ",VLOOKUP(N190,'[1]zawodnicy'!$A:$E,3,FALSE)," - ",VLOOKUP(N190,'[1]zawodnicy'!$A:$E,4,FALSE)),"")</f>
      </c>
      <c r="V189" s="316"/>
      <c r="W189" s="166" t="str">
        <f>IF(SUM(AO189:AP189)=0,"",AO189&amp;":"&amp;AP189)</f>
        <v>2:21</v>
      </c>
      <c r="X189" s="167" t="str">
        <f>IF(SUM(AO187:AP187)=0,"",AO187&amp;":"&amp;AP187)</f>
        <v>8:21</v>
      </c>
      <c r="Y189" s="167" t="str">
        <f>IF(SUM(AO184:AP184)=0,"",AP184&amp;":"&amp;AO184)</f>
        <v>2:21</v>
      </c>
      <c r="Z189" s="338"/>
      <c r="AA189" s="168" t="str">
        <f>IF(SUM(AO186:AP186)=0,"",AO186&amp;":"&amp;AP186)</f>
        <v>4:21</v>
      </c>
      <c r="AB189" s="341" t="str">
        <f>IF(SUM(AV186:BA186,BD186:BE186)=0,"",BF186&amp;":"&amp;BG186)</f>
        <v>32:168</v>
      </c>
      <c r="AC189" s="282" t="str">
        <f>IF(SUM(AV186:BA186,BD186:BE186)=0,"",BH186&amp;":"&amp;BI186)</f>
        <v>0:8</v>
      </c>
      <c r="AD189" s="282" t="str">
        <f>IF(SUM(AV186:BA186,BD186:BE186)=0,"",BJ186&amp;":"&amp;BK186)</f>
        <v>0:4</v>
      </c>
      <c r="AE189" s="283">
        <f>IF(SUM(BJ183:BJ187)&gt;0,BL186,"")</f>
        <v>5</v>
      </c>
      <c r="AF189" s="159"/>
      <c r="AG189" s="197" t="s">
        <v>74</v>
      </c>
      <c r="AH189" s="185">
        <f>IF(ISBLANK(S189),"",VLOOKUP(S189,'[1]plan gier'!$X:$AN,12,FALSE))</f>
        <v>2</v>
      </c>
      <c r="AI189" s="186">
        <f>IF(ISBLANK(S189),"",VLOOKUP(S189,'[1]plan gier'!$X:$AN,13,FALSE))</f>
        <v>21</v>
      </c>
      <c r="AJ189" s="186">
        <f>IF(ISBLANK(S189),"",VLOOKUP(S189,'[1]plan gier'!$X:$AN,14,FALSE))</f>
        <v>5</v>
      </c>
      <c r="AK189" s="186">
        <f>IF(ISBLANK(S189),"",VLOOKUP(S189,'[1]plan gier'!$X:$AN,15,FALSE))</f>
        <v>21</v>
      </c>
      <c r="AL189" s="186">
        <f>IF(ISBLANK(S189),"",VLOOKUP(S189,'[1]plan gier'!$X:$AN,16,FALSE))</f>
        <v>0</v>
      </c>
      <c r="AM189" s="187">
        <f>IF(ISBLANK(S189),"",VLOOKUP(S189,'[1]plan gier'!$X:$AN,17,FALSE))</f>
        <v>0</v>
      </c>
      <c r="AN189" s="173">
        <f t="shared" si="16"/>
        <v>49</v>
      </c>
      <c r="AO189" s="188">
        <f t="shared" si="17"/>
        <v>2</v>
      </c>
      <c r="AP189" s="186">
        <f t="shared" si="17"/>
        <v>21</v>
      </c>
      <c r="AQ189" s="189">
        <f t="shared" si="17"/>
        <v>5</v>
      </c>
      <c r="AR189" s="186">
        <f t="shared" si="17"/>
        <v>21</v>
      </c>
      <c r="AS189" s="189">
        <f t="shared" si="17"/>
        <v>0</v>
      </c>
      <c r="AT189" s="187">
        <f t="shared" si="17"/>
        <v>0</v>
      </c>
      <c r="AU189" s="159"/>
      <c r="AV189" s="210"/>
      <c r="AW189" s="210"/>
      <c r="AX189" s="210"/>
      <c r="AY189" s="210"/>
      <c r="AZ189" s="210"/>
      <c r="BA189" s="210"/>
    </row>
    <row r="190" spans="1:53" s="12" customFormat="1" ht="11.25" customHeight="1">
      <c r="A190" s="12">
        <f t="shared" si="15"/>
        <v>60</v>
      </c>
      <c r="B190" s="12" t="str">
        <f>IF(N184="","",N184)</f>
        <v>O0006</v>
      </c>
      <c r="C190" s="12">
        <f>IF(N185="","",N185)</f>
      </c>
      <c r="D190" s="12" t="str">
        <f>IF(N187="","",N187)</f>
        <v>S0019</v>
      </c>
      <c r="E190" s="12">
        <f>IF(N188="","",N188)</f>
      </c>
      <c r="M190" s="12" t="str">
        <f>N180</f>
        <v>Kobiet</v>
      </c>
      <c r="N190" s="30" t="s">
        <v>24</v>
      </c>
      <c r="O190" s="23"/>
      <c r="P190" s="23"/>
      <c r="Q190" s="40">
        <f>IF(AN190&gt;0,"",IF(A190=0,"",IF(VLOOKUP(A190,'[1]plan gier'!A:S,19,FALSE)="","",VLOOKUP(A190,'[1]plan gier'!A:S,19,FALSE))))</f>
      </c>
      <c r="R190" s="195" t="s">
        <v>17</v>
      </c>
      <c r="S190" s="42">
        <v>60</v>
      </c>
      <c r="T190" s="260"/>
      <c r="U190" s="271" t="str">
        <f>IF(AND(N190&lt;&gt;"",N191=""),CONCATENATE(VLOOKUP(N190,'[1]zawodnicy'!$A:$E,1,FALSE)," ",VLOOKUP(N190,'[1]zawodnicy'!$A:$E,2,FALSE)," ",VLOOKUP(N190,'[1]zawodnicy'!$A:$E,3,FALSE)," - ",VLOOKUP(N190,'[1]zawodnicy'!$A:$E,4,FALSE)),"")</f>
        <v>S0037 Anna SAWICKA - Tarnowiec</v>
      </c>
      <c r="V190" s="311"/>
      <c r="W190" s="184" t="str">
        <f>IF(SUM(AQ189:AR189)=0,"",AQ189&amp;":"&amp;AR189)</f>
        <v>5:21</v>
      </c>
      <c r="X190" s="160" t="str">
        <f>IF(SUM(AQ187:AR187)=0,"",AQ187&amp;":"&amp;AR187)</f>
        <v>5:21</v>
      </c>
      <c r="Y190" s="160" t="str">
        <f>IF(SUM(AQ184:AR184)=0,"",AR184&amp;":"&amp;AQ184)</f>
        <v>4:21</v>
      </c>
      <c r="Z190" s="339"/>
      <c r="AA190" s="161" t="str">
        <f>IF(SUM(AQ186:AR186)=0,"",AQ186&amp;":"&amp;AR186)</f>
        <v>2:21</v>
      </c>
      <c r="AB190" s="325"/>
      <c r="AC190" s="265"/>
      <c r="AD190" s="265"/>
      <c r="AE190" s="268"/>
      <c r="AF190" s="159"/>
      <c r="AG190" s="197" t="s">
        <v>17</v>
      </c>
      <c r="AH190" s="185">
        <f>IF(ISBLANK(S190),"",VLOOKUP(S190,'[1]plan gier'!$X:$AN,12,FALSE))</f>
        <v>6</v>
      </c>
      <c r="AI190" s="186">
        <f>IF(ISBLANK(S190),"",VLOOKUP(S190,'[1]plan gier'!$X:$AN,13,FALSE))</f>
        <v>21</v>
      </c>
      <c r="AJ190" s="186">
        <f>IF(ISBLANK(S190),"",VLOOKUP(S190,'[1]plan gier'!$X:$AN,14,FALSE))</f>
        <v>8</v>
      </c>
      <c r="AK190" s="186">
        <f>IF(ISBLANK(S190),"",VLOOKUP(S190,'[1]plan gier'!$X:$AN,15,FALSE))</f>
        <v>21</v>
      </c>
      <c r="AL190" s="186">
        <f>IF(ISBLANK(S190),"",VLOOKUP(S190,'[1]plan gier'!$X:$AN,16,FALSE))</f>
        <v>0</v>
      </c>
      <c r="AM190" s="187">
        <f>IF(ISBLANK(S190),"",VLOOKUP(S190,'[1]plan gier'!$X:$AN,17,FALSE))</f>
        <v>0</v>
      </c>
      <c r="AN190" s="173">
        <f t="shared" si="16"/>
        <v>56</v>
      </c>
      <c r="AO190" s="188">
        <f t="shared" si="17"/>
        <v>6</v>
      </c>
      <c r="AP190" s="186">
        <f t="shared" si="17"/>
        <v>21</v>
      </c>
      <c r="AQ190" s="189">
        <f t="shared" si="17"/>
        <v>8</v>
      </c>
      <c r="AR190" s="186">
        <f t="shared" si="17"/>
        <v>21</v>
      </c>
      <c r="AS190" s="189">
        <f t="shared" si="17"/>
        <v>0</v>
      </c>
      <c r="AT190" s="187">
        <f t="shared" si="17"/>
        <v>0</v>
      </c>
      <c r="AU190" s="159"/>
      <c r="AV190" s="210"/>
      <c r="AW190" s="210"/>
      <c r="AX190" s="210"/>
      <c r="AY190" s="210"/>
      <c r="AZ190" s="210"/>
      <c r="BA190" s="210"/>
    </row>
    <row r="191" spans="1:53" s="12" customFormat="1" ht="11.25" customHeight="1">
      <c r="A191" s="12">
        <f t="shared" si="15"/>
        <v>61</v>
      </c>
      <c r="B191" s="12" t="str">
        <f>IF(N193="","",N193)</f>
        <v>B0020</v>
      </c>
      <c r="C191" s="12">
        <f>IF(N194="","",N194)</f>
      </c>
      <c r="D191" s="12" t="str">
        <f>IF(N187="","",N187)</f>
        <v>S0019</v>
      </c>
      <c r="E191" s="12">
        <f>IF(N188="","",N188)</f>
      </c>
      <c r="J191" s="23"/>
      <c r="K191" s="23"/>
      <c r="M191" s="12" t="str">
        <f>N180</f>
        <v>Kobiet</v>
      </c>
      <c r="N191" s="35"/>
      <c r="O191" s="23"/>
      <c r="P191" s="23"/>
      <c r="Q191" s="40">
        <f>IF(AN191&gt;0,"",IF(A191=0,"",IF(VLOOKUP(A191,'[1]plan gier'!A:S,19,FALSE)="","",VLOOKUP(A191,'[1]plan gier'!A:S,19,FALSE))))</f>
      </c>
      <c r="R191" s="195" t="s">
        <v>75</v>
      </c>
      <c r="S191" s="42">
        <v>61</v>
      </c>
      <c r="T191" s="261"/>
      <c r="U191" s="273">
        <f>IF(N191&lt;&gt;"",CONCATENATE(VLOOKUP(N191,'[1]zawodnicy'!$A:$E,1,FALSE)," ",VLOOKUP(N191,'[1]zawodnicy'!$A:$E,2,FALSE)," ",VLOOKUP(N191,'[1]zawodnicy'!$A:$E,3,FALSE)," - ",VLOOKUP(N191,'[1]zawodnicy'!$A:$E,4,FALSE)),"")</f>
      </c>
      <c r="V191" s="312"/>
      <c r="W191" s="196">
        <f>IF(SUM(AS189:AT189)=0,"",AS189&amp;":"&amp;AT189)</f>
      </c>
      <c r="X191" s="162">
        <f>IF(SUM(AS187:AT187)=0,"",AS187&amp;":"&amp;AT187)</f>
      </c>
      <c r="Y191" s="162">
        <f>IF(SUM(AS184:AT184)=0,"",AT184&amp;":"&amp;AS184)</f>
      </c>
      <c r="Z191" s="340"/>
      <c r="AA191" s="163">
        <f>IF(SUM(AS186:AT186)=0,"",AS186&amp;":"&amp;AT186)</f>
      </c>
      <c r="AB191" s="326"/>
      <c r="AC191" s="266"/>
      <c r="AD191" s="266"/>
      <c r="AE191" s="269"/>
      <c r="AF191" s="159"/>
      <c r="AG191" s="197" t="s">
        <v>75</v>
      </c>
      <c r="AH191" s="185">
        <f>IF(ISBLANK(S191),"",VLOOKUP(S191,'[1]plan gier'!$X:$AN,12,FALSE))</f>
        <v>17</v>
      </c>
      <c r="AI191" s="186">
        <f>IF(ISBLANK(S191),"",VLOOKUP(S191,'[1]plan gier'!$X:$AN,13,FALSE))</f>
        <v>21</v>
      </c>
      <c r="AJ191" s="186">
        <f>IF(ISBLANK(S191),"",VLOOKUP(S191,'[1]plan gier'!$X:$AN,14,FALSE))</f>
        <v>10</v>
      </c>
      <c r="AK191" s="186">
        <f>IF(ISBLANK(S191),"",VLOOKUP(S191,'[1]plan gier'!$X:$AN,15,FALSE))</f>
        <v>21</v>
      </c>
      <c r="AL191" s="186">
        <f>IF(ISBLANK(S191),"",VLOOKUP(S191,'[1]plan gier'!$X:$AN,16,FALSE))</f>
        <v>0</v>
      </c>
      <c r="AM191" s="187">
        <f>IF(ISBLANK(S191),"",VLOOKUP(S191,'[1]plan gier'!$X:$AN,17,FALSE))</f>
        <v>0</v>
      </c>
      <c r="AN191" s="173">
        <f t="shared" si="16"/>
        <v>69</v>
      </c>
      <c r="AO191" s="188">
        <f t="shared" si="17"/>
        <v>17</v>
      </c>
      <c r="AP191" s="186">
        <f t="shared" si="17"/>
        <v>21</v>
      </c>
      <c r="AQ191" s="189">
        <f t="shared" si="17"/>
        <v>10</v>
      </c>
      <c r="AR191" s="186">
        <f t="shared" si="17"/>
        <v>21</v>
      </c>
      <c r="AS191" s="189">
        <f t="shared" si="17"/>
        <v>0</v>
      </c>
      <c r="AT191" s="187">
        <f t="shared" si="17"/>
        <v>0</v>
      </c>
      <c r="AU191" s="159"/>
      <c r="AV191" s="210"/>
      <c r="AW191" s="210"/>
      <c r="AX191" s="210"/>
      <c r="AY191" s="210"/>
      <c r="AZ191" s="210"/>
      <c r="BA191" s="210"/>
    </row>
    <row r="192" spans="1:53" s="12" customFormat="1" ht="11.25" customHeight="1" thickBot="1">
      <c r="A192" s="12">
        <f t="shared" si="15"/>
        <v>62</v>
      </c>
      <c r="B192" s="12" t="str">
        <f>IF(N181="","",N181)</f>
        <v>D0008</v>
      </c>
      <c r="C192" s="12">
        <f>IF(N182="","",N182)</f>
      </c>
      <c r="D192" s="12" t="str">
        <f>IF(N184="","",N184)</f>
        <v>O0006</v>
      </c>
      <c r="E192" s="12">
        <f>IF(N185="","",N185)</f>
      </c>
      <c r="J192" s="23"/>
      <c r="K192" s="23"/>
      <c r="M192" s="12" t="str">
        <f>N180</f>
        <v>Kobiet</v>
      </c>
      <c r="O192" s="23"/>
      <c r="P192" s="23"/>
      <c r="Q192" s="40">
        <f>IF(AN192&gt;0,"",IF(A192=0,"",IF(VLOOKUP(A192,'[1]plan gier'!A:S,19,FALSE)="","",VLOOKUP(A192,'[1]plan gier'!A:S,19,FALSE))))</f>
      </c>
      <c r="R192" s="195" t="s">
        <v>18</v>
      </c>
      <c r="S192" s="42">
        <v>62</v>
      </c>
      <c r="T192" s="279">
        <v>5</v>
      </c>
      <c r="U192" s="280">
        <f>IF(AND(N193&lt;&gt;"",N194&lt;&gt;""),CONCATENATE(VLOOKUP(N193,'[1]zawodnicy'!$A:$E,1,FALSE)," ",VLOOKUP(N193,'[1]zawodnicy'!$A:$E,2,FALSE)," ",VLOOKUP(N193,'[1]zawodnicy'!$A:$E,3,FALSE)," - ",VLOOKUP(N193,'[1]zawodnicy'!$A:$E,4,FALSE)),"")</f>
      </c>
      <c r="V192" s="316"/>
      <c r="W192" s="166" t="str">
        <f>IF(SUM(AO188:AP188)=0,"",AO188&amp;":"&amp;AP188)</f>
        <v>21:15</v>
      </c>
      <c r="X192" s="167" t="str">
        <f>IF(SUM(AO183:AP183)=0,"",AP183&amp;":"&amp;AO183)</f>
        <v>21:7</v>
      </c>
      <c r="Y192" s="167" t="str">
        <f>IF(SUM(AO191:AP191)=0,"",AO191&amp;":"&amp;AP191)</f>
        <v>17:21</v>
      </c>
      <c r="Z192" s="167" t="str">
        <f>IF(SUM(AO186:AP186)=0,"",AP186&amp;":"&amp;AO186)</f>
        <v>21:4</v>
      </c>
      <c r="AA192" s="344"/>
      <c r="AB192" s="341" t="str">
        <f>IF(SUM(AV187:BC187)=0,"",BF187&amp;":"&amp;BG187)</f>
        <v>153:90</v>
      </c>
      <c r="AC192" s="282" t="str">
        <f>IF(SUM(AV187:BC187)=0,"",BH187&amp;":"&amp;BI187)</f>
        <v>6:2</v>
      </c>
      <c r="AD192" s="282" t="str">
        <f>IF(SUM(AV187:BC187)=0,"",BJ187&amp;":"&amp;BK187)</f>
        <v>3:1</v>
      </c>
      <c r="AE192" s="283">
        <f>IF(SUM(BJ183:BJ187)&gt;0,BL187,"")</f>
        <v>2</v>
      </c>
      <c r="AF192" s="159"/>
      <c r="AG192" s="197" t="s">
        <v>18</v>
      </c>
      <c r="AH192" s="203">
        <f>IF(ISBLANK(S192),"",VLOOKUP(S192,'[1]plan gier'!$X:$AN,12,FALSE))</f>
        <v>13</v>
      </c>
      <c r="AI192" s="204">
        <f>IF(ISBLANK(S192),"",VLOOKUP(S192,'[1]plan gier'!$X:$AN,13,FALSE))</f>
        <v>21</v>
      </c>
      <c r="AJ192" s="204">
        <f>IF(ISBLANK(S192),"",VLOOKUP(S192,'[1]plan gier'!$X:$AN,14,FALSE))</f>
        <v>14</v>
      </c>
      <c r="AK192" s="204">
        <f>IF(ISBLANK(S192),"",VLOOKUP(S192,'[1]plan gier'!$X:$AN,15,FALSE))</f>
        <v>9</v>
      </c>
      <c r="AL192" s="204">
        <f>IF(ISBLANK(S192),"",VLOOKUP(S192,'[1]plan gier'!$X:$AN,16,FALSE))</f>
        <v>0</v>
      </c>
      <c r="AM192" s="212">
        <f>IF(ISBLANK(S192),"",VLOOKUP(S192,'[1]plan gier'!$X:$AN,17,FALSE))</f>
        <v>0</v>
      </c>
      <c r="AN192" s="173">
        <f t="shared" si="16"/>
        <v>57</v>
      </c>
      <c r="AO192" s="213">
        <f t="shared" si="17"/>
        <v>13</v>
      </c>
      <c r="AP192" s="204">
        <f t="shared" si="17"/>
        <v>21</v>
      </c>
      <c r="AQ192" s="214">
        <f t="shared" si="17"/>
        <v>14</v>
      </c>
      <c r="AR192" s="204">
        <f t="shared" si="17"/>
        <v>9</v>
      </c>
      <c r="AS192" s="214">
        <f t="shared" si="17"/>
        <v>0</v>
      </c>
      <c r="AT192" s="212">
        <f t="shared" si="17"/>
        <v>0</v>
      </c>
      <c r="AU192" s="159"/>
      <c r="AV192" s="210"/>
      <c r="AW192" s="210"/>
      <c r="AX192" s="210"/>
      <c r="AY192" s="210"/>
      <c r="AZ192" s="210"/>
      <c r="BA192" s="210"/>
    </row>
    <row r="193" spans="14:32" s="12" customFormat="1" ht="11.25" customHeight="1">
      <c r="N193" s="30" t="s">
        <v>31</v>
      </c>
      <c r="O193" s="23"/>
      <c r="P193" s="23"/>
      <c r="Q193" s="215"/>
      <c r="R193" s="215"/>
      <c r="S193" s="42"/>
      <c r="T193" s="260"/>
      <c r="U193" s="271" t="str">
        <f>IF(AND(N193&lt;&gt;"",N194=""),CONCATENATE(VLOOKUP(N193,'[1]zawodnicy'!$A:$E,1,FALSE)," ",VLOOKUP(N193,'[1]zawodnicy'!$A:$E,2,FALSE)," ",VLOOKUP(N193,'[1]zawodnicy'!$A:$E,3,FALSE)," - ",VLOOKUP(N193,'[1]zawodnicy'!$A:$E,4,FALSE)),"")</f>
        <v>B0020 Klaudia BUKOWIŃSKA - Dubiecko</v>
      </c>
      <c r="V193" s="311"/>
      <c r="W193" s="184" t="str">
        <f>IF(SUM(AQ188:AR188)=0,"",AQ188&amp;":"&amp;AR188)</f>
        <v>21:16</v>
      </c>
      <c r="X193" s="160" t="str">
        <f>IF(SUM(AQ183:AR183)=0,"",AR183&amp;":"&amp;AQ183)</f>
        <v>21:4</v>
      </c>
      <c r="Y193" s="160" t="str">
        <f>IF(SUM(AQ191:AR191)=0,"",AQ191&amp;":"&amp;AR191)</f>
        <v>10:21</v>
      </c>
      <c r="Z193" s="160" t="str">
        <f>IF(SUM(AQ186:AR186)=0,"",AR186&amp;":"&amp;AQ186)</f>
        <v>21:2</v>
      </c>
      <c r="AA193" s="345"/>
      <c r="AB193" s="325"/>
      <c r="AC193" s="265"/>
      <c r="AD193" s="265"/>
      <c r="AE193" s="268"/>
      <c r="AF193" s="159"/>
    </row>
    <row r="194" spans="10:32" s="12" customFormat="1" ht="11.25" customHeight="1" thickBot="1">
      <c r="J194" s="23"/>
      <c r="K194" s="23"/>
      <c r="L194" s="23"/>
      <c r="N194" s="216"/>
      <c r="O194" s="23"/>
      <c r="P194" s="23"/>
      <c r="T194" s="284"/>
      <c r="U194" s="287">
        <f>IF(N194&lt;&gt;"",CONCATENATE(VLOOKUP(N194,'[1]zawodnicy'!$A:$E,1,FALSE)," ",VLOOKUP(N194,'[1]zawodnicy'!$A:$E,2,FALSE)," ",VLOOKUP(N194,'[1]zawodnicy'!$A:$E,3,FALSE)," - ",VLOOKUP(N194,'[1]zawodnicy'!$A:$E,4,FALSE)),"")</f>
      </c>
      <c r="V194" s="319"/>
      <c r="W194" s="217">
        <f>IF(SUM(AS188:AT188)=0,"",AS188&amp;":"&amp;AT188)</f>
      </c>
      <c r="X194" s="218">
        <f>IF(SUM(AS183:AT183)=0,"",AT183&amp;":"&amp;AS183)</f>
      </c>
      <c r="Y194" s="218">
        <f>IF(SUM(AS191:AT191)=0,"",AS191&amp;":"&amp;AT191)</f>
      </c>
      <c r="Z194" s="218">
        <f>IF(SUM(AS186:AT186)=0,"",AT186&amp;":"&amp;AS186)</f>
      </c>
      <c r="AA194" s="346"/>
      <c r="AB194" s="347"/>
      <c r="AC194" s="285"/>
      <c r="AD194" s="285"/>
      <c r="AE194" s="286"/>
      <c r="AF194" s="159"/>
    </row>
    <row r="195" ht="11.25" customHeight="1"/>
    <row r="196" spans="13:31" ht="11.25" customHeight="1">
      <c r="M196" s="9"/>
      <c r="N196" s="10" t="s">
        <v>76</v>
      </c>
      <c r="Q196" s="253" t="str">
        <f>"Gra "&amp;N196</f>
        <v>Gra Old Boys</v>
      </c>
      <c r="R196" s="253"/>
      <c r="S196" s="253"/>
      <c r="T196" s="253"/>
      <c r="U196" s="253"/>
      <c r="V196" s="253"/>
      <c r="W196" s="253"/>
      <c r="X196" s="253"/>
      <c r="Y196" s="253"/>
      <c r="Z196" s="253"/>
      <c r="AA196" s="253"/>
      <c r="AB196" s="253"/>
      <c r="AC196" s="253"/>
      <c r="AD196" s="253"/>
      <c r="AE196" s="253"/>
    </row>
    <row r="197" ht="11.25" customHeight="1" thickBot="1"/>
    <row r="198" spans="14:45" ht="11.25" customHeight="1" thickBot="1">
      <c r="N198" s="120"/>
      <c r="O198" s="14">
        <v>1</v>
      </c>
      <c r="Q198" s="253" t="str">
        <f>"Grupa "&amp;O198&amp;"."</f>
        <v>Grupa 1.</v>
      </c>
      <c r="R198" s="253"/>
      <c r="S198" s="308"/>
      <c r="T198" s="15" t="s">
        <v>1</v>
      </c>
      <c r="U198" s="255" t="s">
        <v>2</v>
      </c>
      <c r="V198" s="309"/>
      <c r="W198" s="15">
        <v>1</v>
      </c>
      <c r="X198" s="121">
        <v>2</v>
      </c>
      <c r="Y198" s="17">
        <v>3</v>
      </c>
      <c r="Z198" s="16">
        <v>4</v>
      </c>
      <c r="AA198" s="122" t="s">
        <v>3</v>
      </c>
      <c r="AB198" s="123" t="s">
        <v>4</v>
      </c>
      <c r="AC198" s="20" t="s">
        <v>5</v>
      </c>
      <c r="AD198" s="124" t="s">
        <v>6</v>
      </c>
      <c r="AE198" s="22"/>
      <c r="AF198" s="22"/>
      <c r="AH198" s="270" t="s">
        <v>9</v>
      </c>
      <c r="AI198" s="270"/>
      <c r="AJ198" s="270"/>
      <c r="AK198" s="270"/>
      <c r="AL198" s="270"/>
      <c r="AM198" s="270"/>
      <c r="AN198" s="270" t="s">
        <v>10</v>
      </c>
      <c r="AO198" s="270"/>
      <c r="AP198" s="270"/>
      <c r="AQ198" s="270"/>
      <c r="AR198" s="270"/>
      <c r="AS198" s="270"/>
    </row>
    <row r="199" spans="14:32" ht="11.25" customHeight="1">
      <c r="N199" s="24" t="s">
        <v>76</v>
      </c>
      <c r="Q199" s="257" t="s">
        <v>7</v>
      </c>
      <c r="R199" s="257"/>
      <c r="S199" s="310" t="s">
        <v>8</v>
      </c>
      <c r="T199" s="260">
        <v>1</v>
      </c>
      <c r="U199" s="271">
        <f>IF(AND(N200&lt;&gt;"",N201&lt;&gt;""),CONCATENATE(VLOOKUP(N200,'[1]zawodnicy'!$A:$E,1,FALSE)," ",VLOOKUP(N200,'[1]zawodnicy'!$A:$E,2,FALSE)," ",VLOOKUP(N200,'[1]zawodnicy'!$A:$E,3,FALSE)," - ",VLOOKUP(N200,'[1]zawodnicy'!$A:$E,4,FALSE)),"")</f>
      </c>
      <c r="V199" s="311"/>
      <c r="W199" s="32"/>
      <c r="X199" s="33" t="str">
        <f>IF(SUM(AN207:AO207)=0,"",AN207&amp;":"&amp;AO207)</f>
        <v>21:9</v>
      </c>
      <c r="Y199" s="33" t="str">
        <f>IF(SUM(AN202:AO202)=0,"",AN202&amp;":"&amp;AO202)</f>
        <v>21:14</v>
      </c>
      <c r="Z199" s="125" t="str">
        <f>IF(SUM(AN204:AO204)=0,"",AN204&amp;":"&amp;AO204)</f>
        <v>21:15</v>
      </c>
      <c r="AA199" s="260" t="str">
        <f>IF(SUM(AX202:BC202)=0,"",BD202&amp;":"&amp;BE202)</f>
        <v>126:66</v>
      </c>
      <c r="AB199" s="265" t="str">
        <f>IF(SUM(AX202:BC202)=0,"",BF202&amp;":"&amp;BG202)</f>
        <v>6:0</v>
      </c>
      <c r="AC199" s="265" t="str">
        <f>IF(SUM(AX202:BC202)=0,"",BH202&amp;":"&amp;BI202)</f>
        <v>3:0</v>
      </c>
      <c r="AD199" s="268">
        <f>IF(SUM(BH202:BH205)&gt;0,BJ202,"")</f>
        <v>1</v>
      </c>
      <c r="AE199" s="22"/>
      <c r="AF199" s="22"/>
    </row>
    <row r="200" spans="8:32" ht="11.25" customHeight="1" thickBot="1">
      <c r="H200" s="29"/>
      <c r="I200" s="2" t="str">
        <f>"1"&amp;O198&amp;N199</f>
        <v>11Old Boys</v>
      </c>
      <c r="J200" s="29" t="str">
        <f>IF(AD199="","",IF(AD199=1,N200,IF(AD202=1,N203,IF(AD205=1,N206,IF(AD208=1,N209,"")))))</f>
        <v>B0009</v>
      </c>
      <c r="K200" s="29">
        <f>IF(AD199="","",IF(AD199=1,N201,IF(AD202=1,N204,IF(AD205=1,N207,IF(AD208=1,N210,"")))))</f>
        <v>0</v>
      </c>
      <c r="L200" s="29"/>
      <c r="N200" s="30" t="s">
        <v>77</v>
      </c>
      <c r="O200" s="31">
        <f>IF(O198&gt;0,(O198&amp;1)*1,"")</f>
        <v>11</v>
      </c>
      <c r="Q200" s="257"/>
      <c r="R200" s="257"/>
      <c r="S200" s="310"/>
      <c r="T200" s="260"/>
      <c r="U200" s="271" t="str">
        <f>IF(AND(N200&lt;&gt;"",N201=""),CONCATENATE(VLOOKUP(N200,'[1]zawodnicy'!$A:$E,1,FALSE)," ",VLOOKUP(N200,'[1]zawodnicy'!$A:$E,2,FALSE)," ",VLOOKUP(N200,'[1]zawodnicy'!$A:$E,3,FALSE)," - ",VLOOKUP(N200,'[1]zawodnicy'!$A:$E,4,FALSE)),"")</f>
        <v>B0009 Adam BUNIO - Nowa Dęba</v>
      </c>
      <c r="V200" s="311"/>
      <c r="W200" s="32"/>
      <c r="X200" s="33" t="str">
        <f>IF(SUM(AP207:AQ207)=0,"",AP207&amp;":"&amp;AQ207)</f>
        <v>21:7</v>
      </c>
      <c r="Y200" s="33" t="str">
        <f>IF(SUM(AP202:AQ202)=0,"",AP202&amp;":"&amp;AQ202)</f>
        <v>21:12</v>
      </c>
      <c r="Z200" s="125" t="str">
        <f>IF(SUM(AP204:AQ204)=0,"",AP204&amp;":"&amp;AQ204)</f>
        <v>21:9</v>
      </c>
      <c r="AA200" s="260"/>
      <c r="AB200" s="265"/>
      <c r="AC200" s="265"/>
      <c r="AD200" s="268"/>
      <c r="AE200" s="22"/>
      <c r="AF200" s="22"/>
    </row>
    <row r="201" spans="10:62" ht="11.25" customHeight="1" thickBot="1">
      <c r="J201" s="29"/>
      <c r="K201" s="23"/>
      <c r="L201" s="23"/>
      <c r="N201" s="35"/>
      <c r="O201" s="23"/>
      <c r="P201" s="23"/>
      <c r="Q201" s="257"/>
      <c r="R201" s="257"/>
      <c r="S201" s="310"/>
      <c r="T201" s="261"/>
      <c r="U201" s="273">
        <f>IF(N201&lt;&gt;"",CONCATENATE(VLOOKUP(N201,'[1]zawodnicy'!$A:$E,1,FALSE)," ",VLOOKUP(N201,'[1]zawodnicy'!$A:$E,2,FALSE)," ",VLOOKUP(N201,'[1]zawodnicy'!$A:$E,3,FALSE)," - ",VLOOKUP(N201,'[1]zawodnicy'!$A:$E,4,FALSE)),"")</f>
      </c>
      <c r="V201" s="312"/>
      <c r="W201" s="32"/>
      <c r="X201" s="36">
        <f>IF(SUM(AR207:AS207)=0,"",AR207&amp;":"&amp;AS207)</f>
      </c>
      <c r="Y201" s="36">
        <f>IF(SUM(AR202:AS202)=0,"",AR202&amp;":"&amp;AS202)</f>
      </c>
      <c r="Z201" s="126">
        <f>IF(SUM(AR204:AS204)=0,"",AR204&amp;":"&amp;AS204)</f>
      </c>
      <c r="AA201" s="260"/>
      <c r="AB201" s="265"/>
      <c r="AC201" s="265"/>
      <c r="AD201" s="268"/>
      <c r="AE201" s="22"/>
      <c r="AF201" s="22"/>
      <c r="AH201" s="313" t="s">
        <v>12</v>
      </c>
      <c r="AI201" s="314"/>
      <c r="AJ201" s="314" t="s">
        <v>13</v>
      </c>
      <c r="AK201" s="314"/>
      <c r="AL201" s="314" t="s">
        <v>14</v>
      </c>
      <c r="AM201" s="314"/>
      <c r="AN201" s="313" t="s">
        <v>12</v>
      </c>
      <c r="AO201" s="314"/>
      <c r="AP201" s="314" t="s">
        <v>13</v>
      </c>
      <c r="AQ201" s="314"/>
      <c r="AR201" s="314" t="s">
        <v>14</v>
      </c>
      <c r="AS201" s="315"/>
      <c r="AV201" s="313">
        <v>1</v>
      </c>
      <c r="AW201" s="314"/>
      <c r="AX201" s="314">
        <v>2</v>
      </c>
      <c r="AY201" s="314"/>
      <c r="AZ201" s="314">
        <v>3</v>
      </c>
      <c r="BA201" s="314"/>
      <c r="BB201" s="314">
        <v>4</v>
      </c>
      <c r="BC201" s="315"/>
      <c r="BD201" s="313" t="s">
        <v>3</v>
      </c>
      <c r="BE201" s="315"/>
      <c r="BF201" s="313" t="s">
        <v>4</v>
      </c>
      <c r="BG201" s="315"/>
      <c r="BH201" s="313" t="s">
        <v>5</v>
      </c>
      <c r="BI201" s="277"/>
      <c r="BJ201" s="38" t="s">
        <v>6</v>
      </c>
    </row>
    <row r="202" spans="1:63" ht="11.25" customHeight="1">
      <c r="A202" s="12">
        <f aca="true" t="shared" si="19" ref="A202:A207">S202</f>
        <v>63</v>
      </c>
      <c r="B202" s="12" t="str">
        <f>IF(N200="","",N200)</f>
        <v>B0009</v>
      </c>
      <c r="C202" s="12">
        <f>IF(N201="","",N201)</f>
      </c>
      <c r="D202" s="12" t="str">
        <f>IF(N206="","",N206)</f>
        <v>O0001</v>
      </c>
      <c r="E202" s="12">
        <f>IF(N207="","",N207)</f>
      </c>
      <c r="H202" s="29"/>
      <c r="I202" s="2" t="str">
        <f>"2"&amp;O198&amp;N199</f>
        <v>21Old Boys</v>
      </c>
      <c r="J202" s="29" t="str">
        <f>IF(AD202="","",IF(AD199=2,N200,IF(AD202=2,N203,IF(AD205=2,N206,IF(AD208=2,N209,"")))))</f>
        <v>O0004</v>
      </c>
      <c r="K202" s="29">
        <f>IF(AD202="","",IF(AD199=2,N201,IF(AD202=2,N204,IF(AD205=2,N207,IF(AD208=2,N210,"")))))</f>
        <v>0</v>
      </c>
      <c r="L202" s="29"/>
      <c r="M202" s="39" t="str">
        <f>N199</f>
        <v>Old Boys</v>
      </c>
      <c r="O202" s="23"/>
      <c r="P202" s="23"/>
      <c r="Q202" s="40">
        <f>IF(AT202&gt;0,"",IF(A202=0,"",IF(VLOOKUP(A202,'[1]plan gier'!A:S,19,FALSE)="","",VLOOKUP(A202,'[1]plan gier'!A:S,19,FALSE))))</f>
      </c>
      <c r="R202" s="41" t="s">
        <v>15</v>
      </c>
      <c r="S202" s="127">
        <v>63</v>
      </c>
      <c r="T202" s="279">
        <v>2</v>
      </c>
      <c r="U202" s="280">
        <f>IF(AND(N203&lt;&gt;"",N204&lt;&gt;""),CONCATENATE(VLOOKUP(N203,'[1]zawodnicy'!$A:$E,1,FALSE)," ",VLOOKUP(N203,'[1]zawodnicy'!$A:$E,2,FALSE)," ",VLOOKUP(N203,'[1]zawodnicy'!$A:$E,3,FALSE)," - ",VLOOKUP(N203,'[1]zawodnicy'!$A:$E,4,FALSE)),"")</f>
      </c>
      <c r="V202" s="316"/>
      <c r="W202" s="43" t="str">
        <f>IF(SUM(AN207:AO207)=0,"",AO207&amp;":"&amp;AN207)</f>
        <v>9:21</v>
      </c>
      <c r="X202" s="128"/>
      <c r="Y202" s="80" t="str">
        <f>IF(SUM(AN205:AO205)=0,"",AN205&amp;":"&amp;AO205)</f>
        <v>21:19</v>
      </c>
      <c r="Z202" s="45" t="str">
        <f>IF(SUM(AN203:AO203)=0,"",AN203&amp;":"&amp;AO203)</f>
        <v>9:21</v>
      </c>
      <c r="AA202" s="279" t="str">
        <f>IF(SUM(AV203:AW203,AZ203:BC203)=0,"",BD203&amp;":"&amp;BE203)</f>
        <v>89:125</v>
      </c>
      <c r="AB202" s="282" t="str">
        <f>IF(SUM(AV203:AW203,AZ203:BC203)=0,"",BF203&amp;":"&amp;BG203)</f>
        <v>2:4</v>
      </c>
      <c r="AC202" s="282" t="str">
        <f>IF(SUM(AV203:AW203,AZ203:BC203)=0,"",BH203&amp;":"&amp;BI203)</f>
        <v>1:2</v>
      </c>
      <c r="AD202" s="283">
        <f>IF(SUM(BH202:BH205)&gt;0,BJ203,"")</f>
        <v>3</v>
      </c>
      <c r="AE202" s="22"/>
      <c r="AF202" s="22"/>
      <c r="AG202" s="41" t="s">
        <v>15</v>
      </c>
      <c r="AH202" s="129">
        <f>IF(ISBLANK(S202),"",VLOOKUP(S202,'[1]plan gier'!$X:$AN,12,FALSE))</f>
        <v>21</v>
      </c>
      <c r="AI202" s="49">
        <f>IF(ISBLANK(S202),"",VLOOKUP(S202,'[1]plan gier'!$X:$AN,13,FALSE))</f>
        <v>14</v>
      </c>
      <c r="AJ202" s="49">
        <f>IF(ISBLANK(S202),"",VLOOKUP(S202,'[1]plan gier'!$X:$AN,14,FALSE))</f>
        <v>21</v>
      </c>
      <c r="AK202" s="49">
        <f>IF(ISBLANK(S202),"",VLOOKUP(S202,'[1]plan gier'!$X:$AN,15,FALSE))</f>
        <v>12</v>
      </c>
      <c r="AL202" s="49">
        <f>IF(ISBLANK(S202),"",VLOOKUP(S202,'[1]plan gier'!$X:$AN,16,FALSE))</f>
        <v>0</v>
      </c>
      <c r="AM202" s="49">
        <f>IF(ISBLANK(S202),"",VLOOKUP(S202,'[1]plan gier'!$X:$AN,17,FALSE))</f>
        <v>0</v>
      </c>
      <c r="AN202" s="46">
        <f aca="true" t="shared" si="20" ref="AN202:AS207">IF(AH202="",0,AH202)</f>
        <v>21</v>
      </c>
      <c r="AO202" s="47">
        <f t="shared" si="20"/>
        <v>14</v>
      </c>
      <c r="AP202" s="47">
        <f t="shared" si="20"/>
        <v>21</v>
      </c>
      <c r="AQ202" s="47">
        <f t="shared" si="20"/>
        <v>12</v>
      </c>
      <c r="AR202" s="47">
        <f t="shared" si="20"/>
        <v>0</v>
      </c>
      <c r="AS202" s="55">
        <f t="shared" si="20"/>
        <v>0</v>
      </c>
      <c r="AT202" s="130">
        <f aca="true" t="shared" si="21" ref="AT202:AT207">SUM(AN202:AS202)</f>
        <v>68</v>
      </c>
      <c r="AU202" s="87">
        <v>1</v>
      </c>
      <c r="AV202" s="317"/>
      <c r="AW202" s="318"/>
      <c r="AX202" s="47">
        <f>IF(AH207&gt;AI207,1,0)+IF(AJ207&gt;AK207,1,0)+IF(AL207&gt;AM207,1,0)</f>
        <v>2</v>
      </c>
      <c r="AY202" s="47">
        <f>AV203</f>
        <v>0</v>
      </c>
      <c r="AZ202" s="47">
        <f>IF(AH202&gt;AI202,1,0)+IF(AJ202&gt;AK202,1,0)+IF(AL202&gt;AM202,1,0)</f>
        <v>2</v>
      </c>
      <c r="BA202" s="49">
        <f>AV204</f>
        <v>0</v>
      </c>
      <c r="BB202" s="131">
        <f>IF(AH204&gt;AI204,1,0)+IF(AJ204&gt;AK204,1,0)+IF(AL204&gt;AM204,1,0)</f>
        <v>2</v>
      </c>
      <c r="BC202" s="56">
        <f>AV205</f>
        <v>0</v>
      </c>
      <c r="BD202" s="129">
        <f>AN202+AP202+AR202+AN204+AP204+AR204+AN207+AP207+AR207</f>
        <v>126</v>
      </c>
      <c r="BE202" s="132">
        <f>AO202+AQ202+AS202+AO204+AQ204+AS204+AO207+AQ207+AS207</f>
        <v>66</v>
      </c>
      <c r="BF202" s="129">
        <f>AX202+AZ202+BB202</f>
        <v>6</v>
      </c>
      <c r="BG202" s="133">
        <f>AY202+BA202+BC202</f>
        <v>0</v>
      </c>
      <c r="BH202" s="129">
        <f>IF(AX202&gt;AY202,1,0)+IF(AZ202&gt;BA202,1,0)+IF(BB202&gt;BC202,1,0)</f>
        <v>3</v>
      </c>
      <c r="BI202" s="133">
        <f>IF(AY202&gt;AX202,1,0)+IF(BA202&gt;AZ202,1,0)+IF(BC202&gt;BB202,1,0)</f>
        <v>0</v>
      </c>
      <c r="BJ202" s="134">
        <f>IF(BH202+BI202=0,"",IF(BK202=MAX(BK202:BK205),1,IF(BK202=LARGE(BK202:BK205,2),2,IF(BK202=MIN(BK202:BK205),4,3))))</f>
        <v>1</v>
      </c>
      <c r="BK202" s="135">
        <f>IF(BH202+BI202&lt;&gt;0,BH202-BI202+(BF202-BG202)/100+(BD202-BE202)/10000,-3)</f>
        <v>3.066</v>
      </c>
    </row>
    <row r="203" spans="1:63" ht="11.25" customHeight="1">
      <c r="A203" s="12">
        <f t="shared" si="19"/>
        <v>64</v>
      </c>
      <c r="B203" s="12" t="str">
        <f>IF(N203="","",N203)</f>
        <v>K0038</v>
      </c>
      <c r="C203" s="12">
        <f>IF(N204="","",N204)</f>
      </c>
      <c r="D203" s="12" t="str">
        <f>IF(N209="","",N209)</f>
        <v>O0004</v>
      </c>
      <c r="E203" s="12">
        <f>IF(N210="","",N210)</f>
      </c>
      <c r="J203" s="29"/>
      <c r="K203" s="12"/>
      <c r="L203" s="12"/>
      <c r="M203" s="39" t="str">
        <f>N199</f>
        <v>Old Boys</v>
      </c>
      <c r="N203" s="30" t="s">
        <v>64</v>
      </c>
      <c r="O203" s="31">
        <f>IF(O198&gt;0,(O198&amp;2)*1,"")</f>
        <v>12</v>
      </c>
      <c r="Q203" s="40">
        <f>IF(AT203&gt;0,"",IF(A203=0,"",IF(VLOOKUP(A203,'[1]plan gier'!A:S,19,FALSE)="","",VLOOKUP(A203,'[1]plan gier'!A:S,19,FALSE))))</f>
      </c>
      <c r="R203" s="41" t="s">
        <v>55</v>
      </c>
      <c r="S203" s="127">
        <v>64</v>
      </c>
      <c r="T203" s="260"/>
      <c r="U203" s="271" t="str">
        <f>IF(AND(N203&lt;&gt;"",N204=""),CONCATENATE(VLOOKUP(N203,'[1]zawodnicy'!$A:$E,1,FALSE)," ",VLOOKUP(N203,'[1]zawodnicy'!$A:$E,2,FALSE)," ",VLOOKUP(N203,'[1]zawodnicy'!$A:$E,3,FALSE)," - ",VLOOKUP(N203,'[1]zawodnicy'!$A:$E,4,FALSE)),"")</f>
        <v>K0038 Wojciech KWOLEK - Mielec</v>
      </c>
      <c r="V203" s="311"/>
      <c r="W203" s="58" t="str">
        <f>IF(SUM(AP207:AQ207)=0,"",AQ207&amp;":"&amp;AP207)</f>
        <v>7:21</v>
      </c>
      <c r="X203" s="136"/>
      <c r="Y203" s="33" t="str">
        <f>IF(SUM(AP205:AQ205)=0,"",AP205&amp;":"&amp;AQ205)</f>
        <v>22:20</v>
      </c>
      <c r="Z203" s="34" t="str">
        <f>IF(SUM(AP203:AQ203)=0,"",AP203&amp;":"&amp;AQ203)</f>
        <v>21:23</v>
      </c>
      <c r="AA203" s="260"/>
      <c r="AB203" s="265"/>
      <c r="AC203" s="265"/>
      <c r="AD203" s="268"/>
      <c r="AE203" s="22"/>
      <c r="AF203" s="22"/>
      <c r="AG203" s="41" t="s">
        <v>55</v>
      </c>
      <c r="AH203" s="46">
        <f>IF(ISBLANK(S203),"",VLOOKUP(S203,'[1]plan gier'!$X:$AN,12,FALSE))</f>
        <v>9</v>
      </c>
      <c r="AI203" s="47">
        <f>IF(ISBLANK(S203),"",VLOOKUP(S203,'[1]plan gier'!$X:$AN,13,FALSE))</f>
        <v>21</v>
      </c>
      <c r="AJ203" s="47">
        <f>IF(ISBLANK(S203),"",VLOOKUP(S203,'[1]plan gier'!$X:$AN,14,FALSE))</f>
        <v>21</v>
      </c>
      <c r="AK203" s="47">
        <f>IF(ISBLANK(S203),"",VLOOKUP(S203,'[1]plan gier'!$X:$AN,15,FALSE))</f>
        <v>23</v>
      </c>
      <c r="AL203" s="47">
        <f>IF(ISBLANK(S203),"",VLOOKUP(S203,'[1]plan gier'!$X:$AN,16,FALSE))</f>
        <v>0</v>
      </c>
      <c r="AM203" s="47">
        <f>IF(ISBLANK(S203),"",VLOOKUP(S203,'[1]plan gier'!$X:$AN,17,FALSE))</f>
        <v>0</v>
      </c>
      <c r="AN203" s="60">
        <f t="shared" si="20"/>
        <v>9</v>
      </c>
      <c r="AO203" s="61">
        <f t="shared" si="20"/>
        <v>21</v>
      </c>
      <c r="AP203" s="61">
        <f t="shared" si="20"/>
        <v>21</v>
      </c>
      <c r="AQ203" s="61">
        <f t="shared" si="20"/>
        <v>23</v>
      </c>
      <c r="AR203" s="61">
        <f t="shared" si="20"/>
        <v>0</v>
      </c>
      <c r="AS203" s="66">
        <f t="shared" si="20"/>
        <v>0</v>
      </c>
      <c r="AT203" s="130">
        <f t="shared" si="21"/>
        <v>74</v>
      </c>
      <c r="AU203" s="87">
        <v>2</v>
      </c>
      <c r="AV203" s="60">
        <f>IF(AH207&lt;AI207,1,0)+IF(AJ207&lt;AK207,1,0)+IF(AL207&lt;AM207,1,0)</f>
        <v>0</v>
      </c>
      <c r="AW203" s="61">
        <f>AX202</f>
        <v>2</v>
      </c>
      <c r="AX203" s="137"/>
      <c r="AY203" s="138"/>
      <c r="AZ203" s="61">
        <f>IF(AH205&gt;AI205,1,0)+IF(AJ205&gt;AK205,1,0)+IF(AL205&gt;AM205,1,0)</f>
        <v>2</v>
      </c>
      <c r="BA203" s="61">
        <f>AX204</f>
        <v>0</v>
      </c>
      <c r="BB203" s="139">
        <f>IF(AH203&gt;AI203,1,0)+IF(AJ203&gt;AK203,1,0)+IF(AL203&gt;AM203,1,0)</f>
        <v>0</v>
      </c>
      <c r="BC203" s="67">
        <f>AX205</f>
        <v>2</v>
      </c>
      <c r="BD203" s="60">
        <f>AN203+AP203+AR203+AN205+AP205+AR205+AO207+AQ207+AS207</f>
        <v>89</v>
      </c>
      <c r="BE203" s="67">
        <f>AO203+AQ203+AS203+AO205+AQ205+AS205+AN207+AP207+AR207</f>
        <v>125</v>
      </c>
      <c r="BF203" s="60">
        <f>AV203+AZ203+BB203</f>
        <v>2</v>
      </c>
      <c r="BG203" s="66">
        <f>AW203+BA203+BC203</f>
        <v>4</v>
      </c>
      <c r="BH203" s="60">
        <f>IF(AV203&gt;AW203,1,0)+IF(AZ203&gt;BA203,1,0)+IF(BB203&gt;BC203,1,0)</f>
        <v>1</v>
      </c>
      <c r="BI203" s="66">
        <f>IF(AW203&gt;AV203,1,0)+IF(BA203&gt;AZ203,1,0)+IF(BC203&gt;BB203,1,0)</f>
        <v>2</v>
      </c>
      <c r="BJ203" s="68">
        <f>IF(BH203+BI203=0,"",IF(BK203=MAX(BK202:BK205),1,IF(BK203=LARGE(BK202:BK205,2),2,IF(BK203=MIN(BK202:BK205),4,3))))</f>
        <v>3</v>
      </c>
      <c r="BK203" s="135">
        <f>IF(BH203+BI203&lt;&gt;0,BH203-BI203+(BF203-BG203)/100+(BD203-BE203)/10000,-3)</f>
        <v>-1.0236</v>
      </c>
    </row>
    <row r="204" spans="1:63" ht="11.25" customHeight="1">
      <c r="A204" s="12">
        <f t="shared" si="19"/>
        <v>66</v>
      </c>
      <c r="B204" s="12" t="str">
        <f>IF(N200="","",N200)</f>
        <v>B0009</v>
      </c>
      <c r="C204" s="12">
        <f>IF(N201="","",N201)</f>
      </c>
      <c r="D204" s="12" t="str">
        <f>IF(N209="","",N209)</f>
        <v>O0004</v>
      </c>
      <c r="E204" s="12">
        <f>IF(N210="","",N210)</f>
      </c>
      <c r="H204" s="29"/>
      <c r="I204" s="2" t="str">
        <f>"3"&amp;O198&amp;N199</f>
        <v>31Old Boys</v>
      </c>
      <c r="J204" s="29" t="str">
        <f>IF(AD205="","",IF(AD199=3,N200,IF(AD202=3,N203,IF(AD205=3,N206,IF(AD208=3,N209,"")))))</f>
        <v>K0038</v>
      </c>
      <c r="K204" s="29">
        <f>IF(AD205="","",IF(AD199=3,N201,IF(AD202=3,N204,IF(AD205=3,N207,IF(AD208=3,N210,"")))))</f>
        <v>0</v>
      </c>
      <c r="L204" s="29"/>
      <c r="M204" s="39" t="str">
        <f>N199</f>
        <v>Old Boys</v>
      </c>
      <c r="N204" s="35"/>
      <c r="O204" s="23"/>
      <c r="P204" s="23"/>
      <c r="Q204" s="40">
        <f>IF(AT204&gt;0,"",IF(A204=0,"",IF(VLOOKUP(A204,'[1]plan gier'!A:S,19,FALSE)="","",VLOOKUP(A204,'[1]plan gier'!A:S,19,FALSE))))</f>
      </c>
      <c r="R204" s="41" t="s">
        <v>56</v>
      </c>
      <c r="S204" s="127">
        <v>66</v>
      </c>
      <c r="T204" s="261"/>
      <c r="U204" s="273">
        <f>IF(N204&lt;&gt;"",CONCATENATE(VLOOKUP(N204,'[1]zawodnicy'!$A:$E,1,FALSE)," ",VLOOKUP(N204,'[1]zawodnicy'!$A:$E,2,FALSE)," ",VLOOKUP(N204,'[1]zawodnicy'!$A:$E,3,FALSE)," - ",VLOOKUP(N204,'[1]zawodnicy'!$A:$E,4,FALSE)),"")</f>
      </c>
      <c r="V204" s="312"/>
      <c r="W204" s="70">
        <f>IF(SUM(AR207:AS207)=0,"",AS207&amp;":"&amp;AR207)</f>
      </c>
      <c r="X204" s="136"/>
      <c r="Y204" s="36">
        <f>IF(SUM(AR205:AS205)=0,"",AR205&amp;":"&amp;AS205)</f>
      </c>
      <c r="Z204" s="37">
        <f>IF(SUM(AR203:AS203)=0,"",AR203&amp;":"&amp;AS203)</f>
      </c>
      <c r="AA204" s="260"/>
      <c r="AB204" s="265"/>
      <c r="AC204" s="265"/>
      <c r="AD204" s="268"/>
      <c r="AE204" s="22"/>
      <c r="AF204" s="22"/>
      <c r="AG204" s="41" t="s">
        <v>56</v>
      </c>
      <c r="AH204" s="46">
        <f>IF(ISBLANK(S204),"",VLOOKUP(S204,'[1]plan gier'!$X:$AN,12,FALSE))</f>
        <v>21</v>
      </c>
      <c r="AI204" s="47">
        <f>IF(ISBLANK(S204),"",VLOOKUP(S204,'[1]plan gier'!$X:$AN,13,FALSE))</f>
        <v>15</v>
      </c>
      <c r="AJ204" s="47">
        <f>IF(ISBLANK(S204),"",VLOOKUP(S204,'[1]plan gier'!$X:$AN,14,FALSE))</f>
        <v>21</v>
      </c>
      <c r="AK204" s="47">
        <f>IF(ISBLANK(S204),"",VLOOKUP(S204,'[1]plan gier'!$X:$AN,15,FALSE))</f>
        <v>9</v>
      </c>
      <c r="AL204" s="47">
        <f>IF(ISBLANK(S204),"",VLOOKUP(S204,'[1]plan gier'!$X:$AN,16,FALSE))</f>
        <v>0</v>
      </c>
      <c r="AM204" s="47">
        <f>IF(ISBLANK(S204),"",VLOOKUP(S204,'[1]plan gier'!$X:$AN,17,FALSE))</f>
        <v>0</v>
      </c>
      <c r="AN204" s="60">
        <f t="shared" si="20"/>
        <v>21</v>
      </c>
      <c r="AO204" s="61">
        <f t="shared" si="20"/>
        <v>15</v>
      </c>
      <c r="AP204" s="61">
        <f t="shared" si="20"/>
        <v>21</v>
      </c>
      <c r="AQ204" s="61">
        <f t="shared" si="20"/>
        <v>9</v>
      </c>
      <c r="AR204" s="61">
        <f t="shared" si="20"/>
        <v>0</v>
      </c>
      <c r="AS204" s="66">
        <f t="shared" si="20"/>
        <v>0</v>
      </c>
      <c r="AT204" s="130">
        <f t="shared" si="21"/>
        <v>66</v>
      </c>
      <c r="AU204" s="87">
        <v>3</v>
      </c>
      <c r="AV204" s="60">
        <f>IF(AH202&lt;AI202,1,0)+IF(AJ202&lt;AK202,1,0)+IF(AL202&lt;AM202,1,0)</f>
        <v>0</v>
      </c>
      <c r="AW204" s="61">
        <f>AZ202</f>
        <v>2</v>
      </c>
      <c r="AX204" s="61">
        <f>IF(AH205&lt;AI205,1,0)+IF(AJ205&lt;AK205,1,0)+IF(AL205&lt;AM205,1,0)</f>
        <v>0</v>
      </c>
      <c r="AY204" s="61">
        <f>AZ203</f>
        <v>2</v>
      </c>
      <c r="AZ204" s="137"/>
      <c r="BA204" s="138"/>
      <c r="BB204" s="61">
        <f>IF(AH206&gt;AI206,1,0)+IF(AJ206&gt;AK206,1,0)+IF(AL206&gt;AM206,1,0)</f>
        <v>0</v>
      </c>
      <c r="BC204" s="67">
        <f>AZ205</f>
        <v>2</v>
      </c>
      <c r="BD204" s="140">
        <f>AO202+AQ202+AS202+AO205+AQ205+AS205+AN206+AP206+AR206</f>
        <v>85</v>
      </c>
      <c r="BE204" s="141">
        <f>AN202+AP202+AR202+AN205+AP205+AR205+AO206+AQ206+AS206</f>
        <v>127</v>
      </c>
      <c r="BF204" s="140">
        <f>AV204+AX204+BB204</f>
        <v>0</v>
      </c>
      <c r="BG204" s="142">
        <f>AW204+AY204+BC204</f>
        <v>6</v>
      </c>
      <c r="BH204" s="60">
        <f>IF(AV204&gt;AW204,1,0)+IF(AX204&gt;AY204,1,0)+IF(BB204&gt;BC204,1,0)</f>
        <v>0</v>
      </c>
      <c r="BI204" s="66">
        <f>IF(AW204&gt;AV204,1,0)+IF(AY204&gt;AX204,1,0)+IF(BC204&gt;BB204,1,0)</f>
        <v>3</v>
      </c>
      <c r="BJ204" s="68">
        <f>IF(BH204+BI204=0,"",IF(BK204=MAX(BK202:BK205),1,IF(BK204=LARGE(BK202:BK205,2),2,IF(BK204=MIN(BK202:BK205),4,3))))</f>
        <v>4</v>
      </c>
      <c r="BK204" s="135">
        <f>IF(BH204+BI204&lt;&gt;0,BH204-BI204+(BF204-BG204)/100+(BD204-BE204)/10000,-3)</f>
        <v>-3.0642</v>
      </c>
    </row>
    <row r="205" spans="1:63" ht="11.25" customHeight="1" thickBot="1">
      <c r="A205" s="12">
        <f t="shared" si="19"/>
        <v>67</v>
      </c>
      <c r="B205" s="12" t="str">
        <f>IF(N203="","",N203)</f>
        <v>K0038</v>
      </c>
      <c r="C205" s="12">
        <f>IF(N204="","",N204)</f>
      </c>
      <c r="D205" s="12" t="str">
        <f>IF(N206="","",N206)</f>
        <v>O0001</v>
      </c>
      <c r="E205" s="12">
        <f>IF(N207="","",N207)</f>
      </c>
      <c r="J205" s="29"/>
      <c r="K205" s="23"/>
      <c r="L205" s="23"/>
      <c r="M205" s="39" t="str">
        <f>N199</f>
        <v>Old Boys</v>
      </c>
      <c r="O205" s="23"/>
      <c r="P205" s="23"/>
      <c r="Q205" s="40">
        <f>IF(AT205&gt;0,"",IF(A205=0,"",IF(VLOOKUP(A205,'[1]plan gier'!A:S,19,FALSE)="","",VLOOKUP(A205,'[1]plan gier'!A:S,19,FALSE))))</f>
      </c>
      <c r="R205" s="41" t="s">
        <v>17</v>
      </c>
      <c r="S205" s="127">
        <v>67</v>
      </c>
      <c r="T205" s="279">
        <v>3</v>
      </c>
      <c r="U205" s="280">
        <f>IF(AND(N206&lt;&gt;"",N207&lt;&gt;""),CONCATENATE(VLOOKUP(N206,'[1]zawodnicy'!$A:$E,1,FALSE)," ",VLOOKUP(N206,'[1]zawodnicy'!$A:$E,2,FALSE)," ",VLOOKUP(N206,'[1]zawodnicy'!$A:$E,3,FALSE)," - ",VLOOKUP(N206,'[1]zawodnicy'!$A:$E,4,FALSE)),"")</f>
      </c>
      <c r="V205" s="316"/>
      <c r="W205" s="43" t="str">
        <f>IF(SUM(AN202:AO202)=0,"",AO202&amp;":"&amp;AN202)</f>
        <v>14:21</v>
      </c>
      <c r="X205" s="80" t="str">
        <f>IF(SUM(AN205:AO205)=0,"",AO205&amp;":"&amp;AN205)</f>
        <v>19:21</v>
      </c>
      <c r="Y205" s="44"/>
      <c r="Z205" s="45" t="str">
        <f>IF(SUM(AN206:AO206)=0,"",AN206&amp;":"&amp;AO206)</f>
        <v>12:21</v>
      </c>
      <c r="AA205" s="279" t="str">
        <f>IF(SUM(AV204:AY204,BB204:BC204)=0,"",BD204&amp;":"&amp;BE204)</f>
        <v>85:127</v>
      </c>
      <c r="AB205" s="282" t="str">
        <f>IF(SUM(AV204:AY204,BB204:BC204)=0,"",BF204&amp;":"&amp;BG204)</f>
        <v>0:6</v>
      </c>
      <c r="AC205" s="282" t="str">
        <f>IF(SUM(AV204:AY204,BB204:BC204)=0,"",BH204&amp;":"&amp;BI204)</f>
        <v>0:3</v>
      </c>
      <c r="AD205" s="283">
        <f>IF(SUM(BH202:BH205)&gt;0,BJ204,"")</f>
        <v>4</v>
      </c>
      <c r="AE205" s="22"/>
      <c r="AF205" s="22"/>
      <c r="AG205" s="41" t="s">
        <v>17</v>
      </c>
      <c r="AH205" s="46">
        <f>IF(ISBLANK(S205),"",VLOOKUP(S205,'[1]plan gier'!$X:$AN,12,FALSE))</f>
        <v>21</v>
      </c>
      <c r="AI205" s="47">
        <f>IF(ISBLANK(S205),"",VLOOKUP(S205,'[1]plan gier'!$X:$AN,13,FALSE))</f>
        <v>19</v>
      </c>
      <c r="AJ205" s="47">
        <f>IF(ISBLANK(S205),"",VLOOKUP(S205,'[1]plan gier'!$X:$AN,14,FALSE))</f>
        <v>22</v>
      </c>
      <c r="AK205" s="47">
        <f>IF(ISBLANK(S205),"",VLOOKUP(S205,'[1]plan gier'!$X:$AN,15,FALSE))</f>
        <v>20</v>
      </c>
      <c r="AL205" s="47">
        <f>IF(ISBLANK(S205),"",VLOOKUP(S205,'[1]plan gier'!$X:$AN,16,FALSE))</f>
        <v>0</v>
      </c>
      <c r="AM205" s="47">
        <f>IF(ISBLANK(S205),"",VLOOKUP(S205,'[1]plan gier'!$X:$AN,17,FALSE))</f>
        <v>0</v>
      </c>
      <c r="AN205" s="60">
        <f t="shared" si="20"/>
        <v>21</v>
      </c>
      <c r="AO205" s="61">
        <f t="shared" si="20"/>
        <v>19</v>
      </c>
      <c r="AP205" s="61">
        <f t="shared" si="20"/>
        <v>22</v>
      </c>
      <c r="AQ205" s="61">
        <f t="shared" si="20"/>
        <v>20</v>
      </c>
      <c r="AR205" s="61">
        <f t="shared" si="20"/>
        <v>0</v>
      </c>
      <c r="AS205" s="66">
        <f t="shared" si="20"/>
        <v>0</v>
      </c>
      <c r="AT205" s="130">
        <f t="shared" si="21"/>
        <v>82</v>
      </c>
      <c r="AU205" s="87">
        <v>4</v>
      </c>
      <c r="AV205" s="143">
        <f>IF(AH204&lt;AI204,1,0)+IF(AJ204&lt;AK204,1,0)+IF(AL204&lt;AM204,1,0)</f>
        <v>0</v>
      </c>
      <c r="AW205" s="144">
        <f>BB202</f>
        <v>2</v>
      </c>
      <c r="AX205" s="144">
        <f>IF(AH203&lt;AI203,1,0)+IF(AJ203&lt;AK203,1,0)+IF(AL203&lt;AM203,1,0)</f>
        <v>2</v>
      </c>
      <c r="AY205" s="144">
        <f>BB203</f>
        <v>0</v>
      </c>
      <c r="AZ205" s="72">
        <f>IF(AH206&lt;AI206,1,0)+IF(AJ206&lt;AK206,1,0)+IF(AL206&lt;AM206,1,0)</f>
        <v>2</v>
      </c>
      <c r="BA205" s="72">
        <f>BB204</f>
        <v>0</v>
      </c>
      <c r="BB205" s="145"/>
      <c r="BC205" s="146"/>
      <c r="BD205" s="71">
        <f>AO203+AQ203+AS203+AO204+AQ204+AS204+AO206+AQ206+AS206</f>
        <v>110</v>
      </c>
      <c r="BE205" s="78">
        <f>AN203+AP203+AR203+AN204+AP204+AR204+AN206+AP206+AR206</f>
        <v>92</v>
      </c>
      <c r="BF205" s="71">
        <f>AV205+AX205+AZ205</f>
        <v>4</v>
      </c>
      <c r="BG205" s="77">
        <f>AW205+AY205+BA205</f>
        <v>2</v>
      </c>
      <c r="BH205" s="71">
        <f>IF(AV205&gt;AW205,1,0)+IF(AX205&gt;AY205,1,0)+IF(AZ205&gt;BA205,1,0)</f>
        <v>2</v>
      </c>
      <c r="BI205" s="77">
        <f>IF(AW205&gt;AV205,1,0)+IF(AY205&gt;AX205,1,0)+IF(BA205&gt;AZ205,1,0)</f>
        <v>1</v>
      </c>
      <c r="BJ205" s="79">
        <f>IF(BH205+BI205=0,"",IF(BK205=MAX(BK202:BK205),1,IF(BK205=LARGE(BK202:BK205,2),2,IF(BK205=MIN(BK202:BK205),4,3))))</f>
        <v>2</v>
      </c>
      <c r="BK205" s="135">
        <f>IF(BH205+BI205&lt;&gt;0,BH205-BI205+(BF205-BG205)/100+(BD205-BE205)/10000,-3)</f>
        <v>1.0218</v>
      </c>
    </row>
    <row r="206" spans="1:63" ht="11.25" customHeight="1">
      <c r="A206" s="12">
        <f t="shared" si="19"/>
        <v>69</v>
      </c>
      <c r="B206" s="12" t="str">
        <f>IF(N206="","",N206)</f>
        <v>O0001</v>
      </c>
      <c r="C206" s="12">
        <f>IF(N207="","",N207)</f>
      </c>
      <c r="D206" s="12" t="str">
        <f>IF(N209="","",N209)</f>
        <v>O0004</v>
      </c>
      <c r="E206" s="12">
        <f>IF(N210="","",N210)</f>
      </c>
      <c r="H206" s="29"/>
      <c r="I206" s="2" t="str">
        <f>"4"&amp;O198&amp;N199</f>
        <v>41Old Boys</v>
      </c>
      <c r="J206" s="29" t="str">
        <f>IF(AD208="","",IF(AD199=4,N200,IF(AD202=4,N203,IF(AD205=4,N206,IF(AD208=4,N209,"")))))</f>
        <v>O0001</v>
      </c>
      <c r="K206" s="29">
        <f>IF(AD208="","",IF(AD199=4,N201,IF(AD202=4,N204,IF(AD205=4,N207,IF(AD208=4,N210,"")))))</f>
        <v>0</v>
      </c>
      <c r="L206" s="29"/>
      <c r="M206" s="39" t="str">
        <f>N199</f>
        <v>Old Boys</v>
      </c>
      <c r="N206" s="30" t="s">
        <v>78</v>
      </c>
      <c r="O206" s="31">
        <f>IF(O198&gt;0,(O198&amp;3)*1,"")</f>
        <v>13</v>
      </c>
      <c r="Q206" s="40">
        <f>IF(AT206&gt;0,"",IF(A206=0,"",IF(VLOOKUP(A206,'[1]plan gier'!A:S,19,FALSE)="","",VLOOKUP(A206,'[1]plan gier'!A:S,19,FALSE))))</f>
      </c>
      <c r="R206" s="41" t="s">
        <v>58</v>
      </c>
      <c r="S206" s="127">
        <v>69</v>
      </c>
      <c r="T206" s="260"/>
      <c r="U206" s="271" t="str">
        <f>IF(AND(N206&lt;&gt;"",N207=""),CONCATENATE(VLOOKUP(N206,'[1]zawodnicy'!$A:$E,1,FALSE)," ",VLOOKUP(N206,'[1]zawodnicy'!$A:$E,2,FALSE)," ",VLOOKUP(N206,'[1]zawodnicy'!$A:$E,3,FALSE)," - ",VLOOKUP(N206,'[1]zawodnicy'!$A:$E,4,FALSE)),"")</f>
        <v>O0001 Krzysztof OSTROWSKI - Mielec</v>
      </c>
      <c r="V206" s="311"/>
      <c r="W206" s="58" t="str">
        <f>IF(SUM(AP202:AQ202)=0,"",AQ202&amp;":"&amp;AP202)</f>
        <v>12:21</v>
      </c>
      <c r="X206" s="33" t="str">
        <f>IF(SUM(AP205:AQ205)=0,"",AQ205&amp;":"&amp;AP205)</f>
        <v>20:22</v>
      </c>
      <c r="Y206" s="59"/>
      <c r="Z206" s="34" t="str">
        <f>IF(SUM(AP206:AQ206)=0,"",AP206&amp;":"&amp;AQ206)</f>
        <v>8:21</v>
      </c>
      <c r="AA206" s="260"/>
      <c r="AB206" s="265"/>
      <c r="AC206" s="265"/>
      <c r="AD206" s="268"/>
      <c r="AE206" s="22"/>
      <c r="AF206" s="22"/>
      <c r="AG206" s="41" t="s">
        <v>58</v>
      </c>
      <c r="AH206" s="46">
        <f>IF(ISBLANK(S206),"",VLOOKUP(S206,'[1]plan gier'!$X:$AN,12,FALSE))</f>
        <v>12</v>
      </c>
      <c r="AI206" s="47">
        <f>IF(ISBLANK(S206),"",VLOOKUP(S206,'[1]plan gier'!$X:$AN,13,FALSE))</f>
        <v>21</v>
      </c>
      <c r="AJ206" s="47">
        <f>IF(ISBLANK(S206),"",VLOOKUP(S206,'[1]plan gier'!$X:$AN,14,FALSE))</f>
        <v>8</v>
      </c>
      <c r="AK206" s="47">
        <f>IF(ISBLANK(S206),"",VLOOKUP(S206,'[1]plan gier'!$X:$AN,15,FALSE))</f>
        <v>21</v>
      </c>
      <c r="AL206" s="47">
        <f>IF(ISBLANK(S206),"",VLOOKUP(S206,'[1]plan gier'!$X:$AN,16,FALSE))</f>
        <v>0</v>
      </c>
      <c r="AM206" s="47">
        <f>IF(ISBLANK(S206),"",VLOOKUP(S206,'[1]plan gier'!$X:$AN,17,FALSE))</f>
        <v>0</v>
      </c>
      <c r="AN206" s="60">
        <f t="shared" si="20"/>
        <v>12</v>
      </c>
      <c r="AO206" s="61">
        <f t="shared" si="20"/>
        <v>21</v>
      </c>
      <c r="AP206" s="61">
        <f t="shared" si="20"/>
        <v>8</v>
      </c>
      <c r="AQ206" s="61">
        <f t="shared" si="20"/>
        <v>21</v>
      </c>
      <c r="AR206" s="61">
        <f t="shared" si="20"/>
        <v>0</v>
      </c>
      <c r="AS206" s="66">
        <f t="shared" si="20"/>
        <v>0</v>
      </c>
      <c r="AT206" s="130">
        <f t="shared" si="21"/>
        <v>62</v>
      </c>
      <c r="BD206" s="12">
        <f aca="true" t="shared" si="22" ref="BD206:BI206">SUM(BD202:BD205)</f>
        <v>410</v>
      </c>
      <c r="BE206" s="12">
        <f t="shared" si="22"/>
        <v>410</v>
      </c>
      <c r="BF206" s="12">
        <f t="shared" si="22"/>
        <v>12</v>
      </c>
      <c r="BG206" s="12">
        <f t="shared" si="22"/>
        <v>12</v>
      </c>
      <c r="BH206" s="12">
        <f t="shared" si="22"/>
        <v>6</v>
      </c>
      <c r="BI206" s="12">
        <f t="shared" si="22"/>
        <v>6</v>
      </c>
      <c r="BK206" s="13">
        <f>SUM(BK202:BK205)</f>
        <v>0</v>
      </c>
    </row>
    <row r="207" spans="1:46" ht="11.25" customHeight="1" thickBot="1">
      <c r="A207" s="12">
        <f t="shared" si="19"/>
        <v>70</v>
      </c>
      <c r="B207" s="12" t="str">
        <f>IF(N200="","",N200)</f>
        <v>B0009</v>
      </c>
      <c r="C207" s="12">
        <f>IF(N201="","",N201)</f>
      </c>
      <c r="D207" s="12" t="str">
        <f>IF(N203="","",N203)</f>
        <v>K0038</v>
      </c>
      <c r="E207" s="12">
        <f>IF(N204="","",N204)</f>
      </c>
      <c r="J207" s="23"/>
      <c r="K207" s="23"/>
      <c r="L207" s="23"/>
      <c r="M207" s="39" t="str">
        <f>N199</f>
        <v>Old Boys</v>
      </c>
      <c r="N207" s="35"/>
      <c r="O207" s="23"/>
      <c r="P207" s="23"/>
      <c r="Q207" s="40">
        <f>IF(AT207&gt;0,"",IF(A207=0,"",IF(VLOOKUP(A207,'[1]plan gier'!A:S,19,FALSE)="","",VLOOKUP(A207,'[1]plan gier'!A:S,19,FALSE))))</f>
      </c>
      <c r="R207" s="41" t="s">
        <v>18</v>
      </c>
      <c r="S207" s="127">
        <v>70</v>
      </c>
      <c r="T207" s="261"/>
      <c r="U207" s="273">
        <f>IF(N207&lt;&gt;"",CONCATENATE(VLOOKUP(N207,'[1]zawodnicy'!$A:$E,1,FALSE)," ",VLOOKUP(N207,'[1]zawodnicy'!$A:$E,2,FALSE)," ",VLOOKUP(N207,'[1]zawodnicy'!$A:$E,3,FALSE)," - ",VLOOKUP(N207,'[1]zawodnicy'!$A:$E,4,FALSE)),"")</f>
      </c>
      <c r="V207" s="312"/>
      <c r="W207" s="70">
        <f>IF(SUM(AR202:AS202)=0,"",AS202&amp;":"&amp;AR202)</f>
      </c>
      <c r="X207" s="36">
        <f>IF(SUM(AR205:AS205)=0,"",AS205&amp;":"&amp;AR205)</f>
      </c>
      <c r="Y207" s="59"/>
      <c r="Z207" s="37">
        <f>IF(SUM(AR206:AS206)=0,"",AR206&amp;":"&amp;AS206)</f>
      </c>
      <c r="AA207" s="260"/>
      <c r="AB207" s="265"/>
      <c r="AC207" s="265"/>
      <c r="AD207" s="268"/>
      <c r="AE207" s="22"/>
      <c r="AF207" s="22"/>
      <c r="AG207" s="41" t="s">
        <v>18</v>
      </c>
      <c r="AH207" s="143">
        <f>IF(ISBLANK(S207),"",VLOOKUP(S207,'[1]plan gier'!$X:$AN,12,FALSE))</f>
        <v>21</v>
      </c>
      <c r="AI207" s="144">
        <f>IF(ISBLANK(S207),"",VLOOKUP(S207,'[1]plan gier'!$X:$AN,13,FALSE))</f>
        <v>9</v>
      </c>
      <c r="AJ207" s="144">
        <f>IF(ISBLANK(S207),"",VLOOKUP(S207,'[1]plan gier'!$X:$AN,14,FALSE))</f>
        <v>21</v>
      </c>
      <c r="AK207" s="144">
        <f>IF(ISBLANK(S207),"",VLOOKUP(S207,'[1]plan gier'!$X:$AN,15,FALSE))</f>
        <v>7</v>
      </c>
      <c r="AL207" s="144">
        <f>IF(ISBLANK(S207),"",VLOOKUP(S207,'[1]plan gier'!$X:$AN,16,FALSE))</f>
        <v>0</v>
      </c>
      <c r="AM207" s="144">
        <f>IF(ISBLANK(S207),"",VLOOKUP(S207,'[1]plan gier'!$X:$AN,17,FALSE))</f>
        <v>0</v>
      </c>
      <c r="AN207" s="71">
        <f t="shared" si="20"/>
        <v>21</v>
      </c>
      <c r="AO207" s="72">
        <f t="shared" si="20"/>
        <v>9</v>
      </c>
      <c r="AP207" s="72">
        <f t="shared" si="20"/>
        <v>21</v>
      </c>
      <c r="AQ207" s="72">
        <f t="shared" si="20"/>
        <v>7</v>
      </c>
      <c r="AR207" s="72">
        <f t="shared" si="20"/>
        <v>0</v>
      </c>
      <c r="AS207" s="77">
        <f t="shared" si="20"/>
        <v>0</v>
      </c>
      <c r="AT207" s="130">
        <f t="shared" si="21"/>
        <v>58</v>
      </c>
    </row>
    <row r="208" spans="1:46" ht="11.25" customHeight="1">
      <c r="A208" s="2"/>
      <c r="J208" s="23"/>
      <c r="K208" s="23"/>
      <c r="L208" s="23"/>
      <c r="O208" s="23"/>
      <c r="P208" s="23"/>
      <c r="Q208" s="2"/>
      <c r="R208" s="2"/>
      <c r="S208" s="2"/>
      <c r="T208" s="279">
        <v>4</v>
      </c>
      <c r="U208" s="280">
        <f>IF(AND(N209&lt;&gt;"",N210&lt;&gt;""),CONCATENATE(VLOOKUP(N209,'[1]zawodnicy'!$A:$E,1,FALSE)," ",VLOOKUP(N209,'[1]zawodnicy'!$A:$E,2,FALSE)," ",VLOOKUP(N209,'[1]zawodnicy'!$A:$E,3,FALSE)," - ",VLOOKUP(N209,'[1]zawodnicy'!$A:$E,4,FALSE)),"")</f>
      </c>
      <c r="V208" s="316"/>
      <c r="W208" s="43" t="str">
        <f>IF(SUM(AN204:AO204)=0,"",AO204&amp;":"&amp;AN204)</f>
        <v>15:21</v>
      </c>
      <c r="X208" s="80" t="str">
        <f>IF(SUM(AN203:AO203)=0,"",AO203&amp;":"&amp;AN203)</f>
        <v>21:9</v>
      </c>
      <c r="Y208" s="80" t="str">
        <f>IF(SUM(AN206:AO206)=0,"",AO206&amp;":"&amp;AN206)</f>
        <v>21:12</v>
      </c>
      <c r="Z208" s="147"/>
      <c r="AA208" s="279" t="str">
        <f>IF(SUM(AV205:BA205)=0,"",BD205&amp;":"&amp;BE205)</f>
        <v>110:92</v>
      </c>
      <c r="AB208" s="282" t="str">
        <f>IF(SUM(AV205:BA205)=0,"",BF205&amp;":"&amp;BG205)</f>
        <v>4:2</v>
      </c>
      <c r="AC208" s="282" t="str">
        <f>IF(SUM(AV205:BA205)=0,"",BH205&amp;":"&amp;BI205)</f>
        <v>2:1</v>
      </c>
      <c r="AD208" s="283">
        <f>IF(SUM(BH202:BH205)&gt;0,BJ205,"")</f>
        <v>2</v>
      </c>
      <c r="AE208" s="22"/>
      <c r="AF208" s="2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1:63" ht="11.25" customHeight="1">
      <c r="A209" s="12"/>
      <c r="B209" s="12"/>
      <c r="C209" s="12"/>
      <c r="D209" s="12"/>
      <c r="E209" s="12"/>
      <c r="H209" s="29"/>
      <c r="J209" s="12"/>
      <c r="K209" s="12"/>
      <c r="L209" s="12"/>
      <c r="N209" s="30" t="s">
        <v>62</v>
      </c>
      <c r="O209" s="31">
        <f>IF(O198&gt;0,(O198&amp;4)*1,"")</f>
        <v>14</v>
      </c>
      <c r="Q209" s="82"/>
      <c r="R209" s="82"/>
      <c r="S209" s="42"/>
      <c r="T209" s="260"/>
      <c r="U209" s="271" t="str">
        <f>IF(AND(N209&lt;&gt;"",N210=""),CONCATENATE(VLOOKUP(N209,'[1]zawodnicy'!$A:$E,1,FALSE)," ",VLOOKUP(N209,'[1]zawodnicy'!$A:$E,2,FALSE)," ",VLOOKUP(N209,'[1]zawodnicy'!$A:$E,3,FALSE)," - ",VLOOKUP(N209,'[1]zawodnicy'!$A:$E,4,FALSE)),"")</f>
        <v>O0004 Krzysztof ORZECHOWICZ - Tarnowiec</v>
      </c>
      <c r="V209" s="311"/>
      <c r="W209" s="58" t="str">
        <f>IF(SUM(AP204:AQ204)=0,"",AQ204&amp;":"&amp;AP204)</f>
        <v>9:21</v>
      </c>
      <c r="X209" s="33" t="str">
        <f>IF(SUM(AP203:AQ203)=0,"",AQ203&amp;":"&amp;AP203)</f>
        <v>23:21</v>
      </c>
      <c r="Y209" s="33" t="str">
        <f>IF(SUM(AP206:AQ206)=0,"",AQ206&amp;":"&amp;AP206)</f>
        <v>21:8</v>
      </c>
      <c r="Z209" s="148"/>
      <c r="AA209" s="260"/>
      <c r="AB209" s="265"/>
      <c r="AC209" s="265"/>
      <c r="AD209" s="268"/>
      <c r="AE209" s="22"/>
      <c r="AF209" s="2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1:63" ht="11.25" customHeight="1" thickBot="1">
      <c r="A210" s="2"/>
      <c r="J210" s="23"/>
      <c r="K210" s="23"/>
      <c r="L210" s="23"/>
      <c r="N210" s="35"/>
      <c r="O210" s="23"/>
      <c r="P210" s="23"/>
      <c r="Q210" s="2"/>
      <c r="R210" s="2"/>
      <c r="S210" s="2"/>
      <c r="T210" s="284"/>
      <c r="U210" s="287">
        <f>IF(N210&lt;&gt;"",CONCATENATE(VLOOKUP(N210,'[1]zawodnicy'!$A:$E,1,FALSE)," ",VLOOKUP(N210,'[1]zawodnicy'!$A:$E,2,FALSE)," ",VLOOKUP(N210,'[1]zawodnicy'!$A:$E,3,FALSE)," - ",VLOOKUP(N210,'[1]zawodnicy'!$A:$E,4,FALSE)),"")</f>
      </c>
      <c r="V210" s="319"/>
      <c r="W210" s="84">
        <f>IF(SUM(AR204:AS204)=0,"",AS204&amp;":"&amp;AR204)</f>
      </c>
      <c r="X210" s="85">
        <f>IF(SUM(AR203:AS203)=0,"",AS203&amp;":"&amp;AR203)</f>
      </c>
      <c r="Y210" s="85">
        <f>IF(SUM(AR206:AS206)=0,"",AS206&amp;":"&amp;AR206)</f>
      </c>
      <c r="Z210" s="86"/>
      <c r="AA210" s="284"/>
      <c r="AB210" s="285"/>
      <c r="AC210" s="285"/>
      <c r="AD210" s="286"/>
      <c r="AE210" s="22"/>
      <c r="AF210" s="2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ht="11.25" customHeight="1" thickBot="1"/>
    <row r="212" spans="14:32" ht="11.25" customHeight="1" thickBot="1">
      <c r="N212" s="8"/>
      <c r="O212" s="14">
        <v>2</v>
      </c>
      <c r="Q212" s="253" t="str">
        <f>"Grupa "&amp;O212&amp;"."</f>
        <v>Grupa 2.</v>
      </c>
      <c r="R212" s="253"/>
      <c r="S212" s="254"/>
      <c r="T212" s="15" t="s">
        <v>1</v>
      </c>
      <c r="U212" s="255" t="s">
        <v>2</v>
      </c>
      <c r="V212" s="256"/>
      <c r="W212" s="15">
        <v>1</v>
      </c>
      <c r="X212" s="17">
        <v>2</v>
      </c>
      <c r="Y212" s="18">
        <v>3</v>
      </c>
      <c r="Z212" s="19" t="s">
        <v>3</v>
      </c>
      <c r="AA212" s="20" t="s">
        <v>4</v>
      </c>
      <c r="AB212" s="20" t="s">
        <v>5</v>
      </c>
      <c r="AC212" s="21" t="s">
        <v>6</v>
      </c>
      <c r="AD212" s="2"/>
      <c r="AE212" s="22"/>
      <c r="AF212" s="22"/>
    </row>
    <row r="213" spans="10:45" ht="11.25" customHeight="1">
      <c r="J213" s="23"/>
      <c r="K213" s="23"/>
      <c r="L213" s="23"/>
      <c r="N213" s="24" t="s">
        <v>76</v>
      </c>
      <c r="Q213" s="257" t="s">
        <v>7</v>
      </c>
      <c r="R213" s="257"/>
      <c r="S213" s="258" t="s">
        <v>8</v>
      </c>
      <c r="T213" s="259">
        <v>1</v>
      </c>
      <c r="U213" s="262">
        <f>IF(AND(N214&lt;&gt;"",N215&lt;&gt;""),CONCATENATE(VLOOKUP(N214,'[1]zawodnicy'!$A:$E,1,FALSE)," ",VLOOKUP(N214,'[1]zawodnicy'!$A:$E,2,FALSE)," ",VLOOKUP(N214,'[1]zawodnicy'!$A:$E,3,FALSE)," - ",VLOOKUP(N214,'[1]zawodnicy'!$A:$E,4,FALSE)),"")</f>
      </c>
      <c r="V213" s="263"/>
      <c r="W213" s="25"/>
      <c r="X213" s="26" t="str">
        <f>IF(SUM(AN218:AO218)=0,"",AN218&amp;":"&amp;AO218)</f>
        <v>21:17</v>
      </c>
      <c r="Y213" s="27" t="str">
        <f>IF(SUM(AN216:AO216)=0,"",AN216&amp;":"&amp;AO216)</f>
        <v>21:16</v>
      </c>
      <c r="Z213" s="259" t="str">
        <f>IF(SUM(AX216:BA216)=0,"",BD216&amp;":"&amp;BE216)</f>
        <v>94:87</v>
      </c>
      <c r="AA213" s="264" t="str">
        <f>IF(SUM(AX216:BA216)=0,"",BF216&amp;":"&amp;BG216)</f>
        <v>3:2</v>
      </c>
      <c r="AB213" s="264" t="str">
        <f>IF(SUM(AX216:BA216)=0,"",BH216&amp;":"&amp;BI216)</f>
        <v>1:1</v>
      </c>
      <c r="AC213" s="267">
        <f>IF(SUM(BH216:BH218)&gt;0,BJ216,"")</f>
        <v>2</v>
      </c>
      <c r="AD213" s="2"/>
      <c r="AE213" s="22"/>
      <c r="AF213" s="22"/>
      <c r="AG213" s="28"/>
      <c r="AH213" s="270" t="s">
        <v>9</v>
      </c>
      <c r="AI213" s="270"/>
      <c r="AJ213" s="270"/>
      <c r="AK213" s="270"/>
      <c r="AL213" s="270"/>
      <c r="AM213" s="270"/>
      <c r="AN213" s="270" t="s">
        <v>10</v>
      </c>
      <c r="AO213" s="270"/>
      <c r="AP213" s="270"/>
      <c r="AQ213" s="270"/>
      <c r="AR213" s="270"/>
      <c r="AS213" s="270"/>
    </row>
    <row r="214" spans="9:59" ht="11.25" customHeight="1" thickBot="1">
      <c r="I214" s="2" t="str">
        <f>"1"&amp;O212&amp;N213</f>
        <v>12Old Boys</v>
      </c>
      <c r="J214" s="29" t="str">
        <f>IF(AC213="","",IF(AC213=1,N214,IF(AC216=1,N217,IF(AC219=1,N220,""))))</f>
        <v>M0008</v>
      </c>
      <c r="K214" s="29">
        <f>IF(AC213="","",IF(AC213=1,N215,IF(AC216=1,N218,IF(AC219=1,N221,""))))</f>
        <v>0</v>
      </c>
      <c r="L214" s="29"/>
      <c r="N214" s="30" t="s">
        <v>79</v>
      </c>
      <c r="O214" s="31">
        <f>IF(O212&gt;0,(O212&amp;1)*1,"")</f>
        <v>21</v>
      </c>
      <c r="Q214" s="257"/>
      <c r="R214" s="257"/>
      <c r="S214" s="258"/>
      <c r="T214" s="260"/>
      <c r="U214" s="271" t="str">
        <f>IF(AND(N214&lt;&gt;"",N215=""),CONCATENATE(VLOOKUP(N214,'[1]zawodnicy'!$A:$E,1,FALSE)," ",VLOOKUP(N214,'[1]zawodnicy'!$A:$E,2,FALSE)," ",VLOOKUP(N214,'[1]zawodnicy'!$A:$E,3,FALSE)," - ",VLOOKUP(N214,'[1]zawodnicy'!$A:$E,4,FALSE)),"")</f>
        <v>K0003 Robert KARNASIEWICZ - Mielec</v>
      </c>
      <c r="V214" s="272"/>
      <c r="W214" s="32"/>
      <c r="X214" s="33" t="str">
        <f>IF(SUM(AP218:AQ218)=0,"",AP218&amp;":"&amp;AQ218)</f>
        <v>19:21</v>
      </c>
      <c r="Y214" s="34" t="str">
        <f>IF(SUM(AP216:AQ216)=0,"",AP216&amp;":"&amp;AQ216)</f>
        <v>21:12</v>
      </c>
      <c r="Z214" s="260"/>
      <c r="AA214" s="265"/>
      <c r="AB214" s="265"/>
      <c r="AC214" s="268"/>
      <c r="AD214" s="2"/>
      <c r="AE214" s="22"/>
      <c r="AF214" s="22"/>
      <c r="AG214" s="28"/>
      <c r="BD214" s="12">
        <f>SUM(BD216:BD218)</f>
        <v>251</v>
      </c>
      <c r="BE214" s="12">
        <f>SUM(BE216:BE218)</f>
        <v>251</v>
      </c>
      <c r="BF214" s="12">
        <f>SUM(BF216:BF218)</f>
        <v>7</v>
      </c>
      <c r="BG214" s="12">
        <f>SUM(BG216:BG218)</f>
        <v>7</v>
      </c>
    </row>
    <row r="215" spans="10:63" ht="11.25" customHeight="1" thickBot="1">
      <c r="J215" s="29"/>
      <c r="K215" s="23"/>
      <c r="L215" s="23"/>
      <c r="N215" s="35"/>
      <c r="O215" s="23"/>
      <c r="P215" s="23"/>
      <c r="Q215" s="257"/>
      <c r="R215" s="257"/>
      <c r="S215" s="258"/>
      <c r="T215" s="261"/>
      <c r="U215" s="273">
        <f>IF(N215&lt;&gt;"",CONCATENATE(VLOOKUP(N215,'[1]zawodnicy'!$A:$E,1,FALSE)," ",VLOOKUP(N215,'[1]zawodnicy'!$A:$E,2,FALSE)," ",VLOOKUP(N215,'[1]zawodnicy'!$A:$E,3,FALSE)," - ",VLOOKUP(N215,'[1]zawodnicy'!$A:$E,4,FALSE)),"")</f>
      </c>
      <c r="V215" s="274"/>
      <c r="W215" s="32"/>
      <c r="X215" s="36" t="str">
        <f>IF(SUM(AR218:AS218)=0,"",AR218&amp;":"&amp;AS218)</f>
        <v>12:21</v>
      </c>
      <c r="Y215" s="37">
        <f>IF(SUM(AR216:AS216)=0,"",AR216&amp;":"&amp;AS216)</f>
      </c>
      <c r="Z215" s="261"/>
      <c r="AA215" s="266"/>
      <c r="AB215" s="266"/>
      <c r="AC215" s="269"/>
      <c r="AD215" s="2"/>
      <c r="AE215" s="22"/>
      <c r="AF215" s="22"/>
      <c r="AG215" s="28"/>
      <c r="AH215" s="275" t="s">
        <v>12</v>
      </c>
      <c r="AI215" s="276"/>
      <c r="AJ215" s="277" t="s">
        <v>13</v>
      </c>
      <c r="AK215" s="276"/>
      <c r="AL215" s="277" t="s">
        <v>14</v>
      </c>
      <c r="AM215" s="278"/>
      <c r="AN215" s="275" t="s">
        <v>12</v>
      </c>
      <c r="AO215" s="276"/>
      <c r="AP215" s="277" t="s">
        <v>13</v>
      </c>
      <c r="AQ215" s="276"/>
      <c r="AR215" s="277" t="s">
        <v>14</v>
      </c>
      <c r="AS215" s="276"/>
      <c r="AT215" s="22"/>
      <c r="AU215" s="22"/>
      <c r="AV215" s="275">
        <v>1</v>
      </c>
      <c r="AW215" s="276"/>
      <c r="AX215" s="277">
        <v>2</v>
      </c>
      <c r="AY215" s="276"/>
      <c r="AZ215" s="277">
        <v>3</v>
      </c>
      <c r="BA215" s="278"/>
      <c r="BD215" s="275" t="s">
        <v>3</v>
      </c>
      <c r="BE215" s="278"/>
      <c r="BF215" s="275" t="s">
        <v>4</v>
      </c>
      <c r="BG215" s="278"/>
      <c r="BH215" s="275" t="s">
        <v>5</v>
      </c>
      <c r="BI215" s="278"/>
      <c r="BJ215" s="38" t="s">
        <v>6</v>
      </c>
      <c r="BK215" s="13">
        <f>SUM(BK216:BK218)</f>
        <v>0</v>
      </c>
    </row>
    <row r="216" spans="1:63" ht="11.25" customHeight="1">
      <c r="A216" s="12">
        <f>S216</f>
        <v>65</v>
      </c>
      <c r="B216" s="2" t="str">
        <f>IF(N214="","",N214)</f>
        <v>K0003</v>
      </c>
      <c r="C216" s="2">
        <f>IF(N215="","",N215)</f>
      </c>
      <c r="D216" s="2" t="str">
        <f>IF(N220="","",N220)</f>
        <v>P0023</v>
      </c>
      <c r="E216" s="2">
        <f>IF(N221="","",N221)</f>
      </c>
      <c r="I216" s="2" t="str">
        <f>"2"&amp;O212&amp;N213</f>
        <v>22Old Boys</v>
      </c>
      <c r="J216" s="29" t="str">
        <f>IF(AC216="","",IF(AC213=2,N214,IF(AC216=2,N217,IF(AC219=2,N220,""))))</f>
        <v>K0003</v>
      </c>
      <c r="K216" s="29">
        <f>IF(AC216="","",IF(AC213=2,N215,IF(AC216=2,N218,IF(AC219=2,N221,""))))</f>
        <v>0</v>
      </c>
      <c r="M216" s="39" t="str">
        <f>N213</f>
        <v>Old Boys</v>
      </c>
      <c r="O216" s="23"/>
      <c r="P216" s="23"/>
      <c r="Q216" s="40">
        <f>IF(AT216&gt;0,"",IF(A216=0,"",IF(VLOOKUP(A216,'[1]plan gier'!A:S,19,FALSE)="","",VLOOKUP(A216,'[1]plan gier'!A:S,19,FALSE))))</f>
      </c>
      <c r="R216" s="41" t="s">
        <v>15</v>
      </c>
      <c r="S216" s="42">
        <v>65</v>
      </c>
      <c r="T216" s="279">
        <v>2</v>
      </c>
      <c r="U216" s="280">
        <f>IF(AND(N217&lt;&gt;"",N218&lt;&gt;""),CONCATENATE(VLOOKUP(N217,'[1]zawodnicy'!$A:$E,1,FALSE)," ",VLOOKUP(N217,'[1]zawodnicy'!$A:$E,2,FALSE)," ",VLOOKUP(N217,'[1]zawodnicy'!$A:$E,3,FALSE)," - ",VLOOKUP(N217,'[1]zawodnicy'!$A:$E,4,FALSE)),"")</f>
      </c>
      <c r="V216" s="281"/>
      <c r="W216" s="43" t="str">
        <f>IF(SUM(AN218:AO218)=0,"",AO218&amp;":"&amp;AN218)</f>
        <v>17:21</v>
      </c>
      <c r="X216" s="44"/>
      <c r="Y216" s="45" t="str">
        <f>IF(SUM(AN217:AO217)=0,"",AN217&amp;":"&amp;AO217)</f>
        <v>21:19</v>
      </c>
      <c r="Z216" s="279" t="str">
        <f>IF(SUM(AV217:AW217,AZ217:BA217)=0,"",BD217&amp;":"&amp;BE217)</f>
        <v>101:80</v>
      </c>
      <c r="AA216" s="282" t="str">
        <f>IF(SUM(AV217:AW217,AZ217:BA217)=0,"",BF217&amp;":"&amp;BG217)</f>
        <v>4:1</v>
      </c>
      <c r="AB216" s="282" t="str">
        <f>IF(SUM(AV217:AW217,AZ217:BA217)=0,"",BH217&amp;":"&amp;BI217)</f>
        <v>2:0</v>
      </c>
      <c r="AC216" s="283">
        <f>IF(SUM(BH216:BH218)&gt;0,BJ217,"")</f>
        <v>1</v>
      </c>
      <c r="AD216" s="2"/>
      <c r="AE216" s="22"/>
      <c r="AF216" s="22"/>
      <c r="AG216" s="41" t="s">
        <v>15</v>
      </c>
      <c r="AH216" s="46">
        <f>IF(ISBLANK(S216),"",VLOOKUP(S216,'[1]plan gier'!$X:$AN,12,FALSE))</f>
        <v>21</v>
      </c>
      <c r="AI216" s="47">
        <f>IF(ISBLANK(S216),"",VLOOKUP(S216,'[1]plan gier'!$X:$AN,13,FALSE))</f>
        <v>16</v>
      </c>
      <c r="AJ216" s="47">
        <f>IF(ISBLANK(S216),"",VLOOKUP(S216,'[1]plan gier'!$X:$AN,14,FALSE))</f>
        <v>21</v>
      </c>
      <c r="AK216" s="47">
        <f>IF(ISBLANK(S216),"",VLOOKUP(S216,'[1]plan gier'!$X:$AN,15,FALSE))</f>
        <v>12</v>
      </c>
      <c r="AL216" s="47">
        <f>IF(ISBLANK(S216),"",VLOOKUP(S216,'[1]plan gier'!$X:$AN,16,FALSE))</f>
        <v>0</v>
      </c>
      <c r="AM216" s="47">
        <f>IF(ISBLANK(S216),"",VLOOKUP(S216,'[1]plan gier'!$X:$AN,17,FALSE))</f>
        <v>0</v>
      </c>
      <c r="AN216" s="48">
        <f aca="true" t="shared" si="23" ref="AN216:AS218">IF(AH216="",0,AH216)</f>
        <v>21</v>
      </c>
      <c r="AO216" s="49">
        <f t="shared" si="23"/>
        <v>16</v>
      </c>
      <c r="AP216" s="50">
        <f t="shared" si="23"/>
        <v>21</v>
      </c>
      <c r="AQ216" s="49">
        <f t="shared" si="23"/>
        <v>12</v>
      </c>
      <c r="AR216" s="50">
        <f t="shared" si="23"/>
        <v>0</v>
      </c>
      <c r="AS216" s="49">
        <f t="shared" si="23"/>
        <v>0</v>
      </c>
      <c r="AT216" s="51">
        <f>SUM(AN216:AS216)</f>
        <v>70</v>
      </c>
      <c r="AU216" s="52">
        <v>1</v>
      </c>
      <c r="AV216" s="53"/>
      <c r="AW216" s="54"/>
      <c r="AX216" s="47">
        <f>IF(AH218&gt;AI218,1,0)+IF(AJ218&gt;AK218,1,0)+IF(AL218&gt;AM218,1,0)</f>
        <v>1</v>
      </c>
      <c r="AY216" s="47">
        <f>AV217</f>
        <v>2</v>
      </c>
      <c r="AZ216" s="47">
        <f>IF(AH216&gt;AI216,1,0)+IF(AJ216&gt;AK216,1,0)+IF(AL216&gt;AM216,1,0)</f>
        <v>2</v>
      </c>
      <c r="BA216" s="55">
        <f>AV218</f>
        <v>0</v>
      </c>
      <c r="BD216" s="46">
        <f>AN216+AP216+AR216+AN218+AP218+AR218</f>
        <v>94</v>
      </c>
      <c r="BE216" s="55">
        <f>AO216+AQ216+AS216+AO218+AQ218+AS218</f>
        <v>87</v>
      </c>
      <c r="BF216" s="46">
        <f>AX216+AZ216</f>
        <v>3</v>
      </c>
      <c r="BG216" s="55">
        <f>AY216+BA216</f>
        <v>2</v>
      </c>
      <c r="BH216" s="46">
        <f>IF(AX216&gt;AY216,1,0)+IF(AZ216&gt;BA216,1,0)</f>
        <v>1</v>
      </c>
      <c r="BI216" s="56">
        <f>IF(AY216&gt;AX216,1,0)+IF(BA216&gt;AZ216,1,0)</f>
        <v>1</v>
      </c>
      <c r="BJ216" s="57">
        <f>IF(BH216+BI216=0,"",IF(BK216=MAX(BK216:BK218),1,IF(BK216=MIN(BK216:BK218),3,2)))</f>
        <v>2</v>
      </c>
      <c r="BK216" s="13">
        <f>IF(BH216+BI216&lt;&gt;0,BH216-BI216+(BF216-BG216)/100+(BD216-BE216)/10000,-2)</f>
        <v>0.0107</v>
      </c>
    </row>
    <row r="217" spans="1:63" ht="11.25" customHeight="1">
      <c r="A217" s="12">
        <f>S217</f>
        <v>68</v>
      </c>
      <c r="B217" s="2" t="str">
        <f>IF(N217="","",N217)</f>
        <v>M0008</v>
      </c>
      <c r="C217" s="2">
        <f>IF(N218="","",N218)</f>
      </c>
      <c r="D217" s="2" t="str">
        <f>IF(N220="","",N220)</f>
        <v>P0023</v>
      </c>
      <c r="E217" s="2">
        <f>IF(N221="","",N221)</f>
      </c>
      <c r="J217" s="29"/>
      <c r="K217" s="12"/>
      <c r="M217" s="39" t="str">
        <f>N213</f>
        <v>Old Boys</v>
      </c>
      <c r="N217" s="30" t="s">
        <v>63</v>
      </c>
      <c r="O217" s="31">
        <f>IF(O212&gt;0,(O212&amp;2)*1,"")</f>
        <v>22</v>
      </c>
      <c r="Q217" s="40">
        <f>IF(AT217&gt;0,"",IF(A217=0,"",IF(VLOOKUP(A217,'[1]plan gier'!A:S,19,FALSE)="","",VLOOKUP(A217,'[1]plan gier'!A:S,19,FALSE))))</f>
      </c>
      <c r="R217" s="41" t="s">
        <v>17</v>
      </c>
      <c r="S217" s="42">
        <v>68</v>
      </c>
      <c r="T217" s="260"/>
      <c r="U217" s="271" t="str">
        <f>IF(AND(N217&lt;&gt;"",N218=""),CONCATENATE(VLOOKUP(N217,'[1]zawodnicy'!$A:$E,1,FALSE)," ",VLOOKUP(N217,'[1]zawodnicy'!$A:$E,2,FALSE)," ",VLOOKUP(N217,'[1]zawodnicy'!$A:$E,3,FALSE)," - ",VLOOKUP(N217,'[1]zawodnicy'!$A:$E,4,FALSE)),"")</f>
        <v>M0008 Tadeusz MICHALIK - Tarnów</v>
      </c>
      <c r="V217" s="272"/>
      <c r="W217" s="58" t="str">
        <f>IF(SUM(AP218:AQ218)=0,"",AQ218&amp;":"&amp;AP218)</f>
        <v>21:19</v>
      </c>
      <c r="X217" s="59"/>
      <c r="Y217" s="34" t="str">
        <f>IF(SUM(AP217:AQ217)=0,"",AP217&amp;":"&amp;AQ217)</f>
        <v>21:9</v>
      </c>
      <c r="Z217" s="260"/>
      <c r="AA217" s="265"/>
      <c r="AB217" s="265"/>
      <c r="AC217" s="268"/>
      <c r="AD217" s="2"/>
      <c r="AE217" s="22"/>
      <c r="AF217" s="22"/>
      <c r="AG217" s="41" t="s">
        <v>17</v>
      </c>
      <c r="AH217" s="60">
        <f>IF(ISBLANK(S217),"",VLOOKUP(S217,'[1]plan gier'!$X:$AN,12,FALSE))</f>
        <v>21</v>
      </c>
      <c r="AI217" s="61">
        <f>IF(ISBLANK(S217),"",VLOOKUP(S217,'[1]plan gier'!$X:$AN,13,FALSE))</f>
        <v>19</v>
      </c>
      <c r="AJ217" s="61">
        <f>IF(ISBLANK(S217),"",VLOOKUP(S217,'[1]plan gier'!$X:$AN,14,FALSE))</f>
        <v>21</v>
      </c>
      <c r="AK217" s="61">
        <f>IF(ISBLANK(S217),"",VLOOKUP(S217,'[1]plan gier'!$X:$AN,15,FALSE))</f>
        <v>9</v>
      </c>
      <c r="AL217" s="61">
        <f>IF(ISBLANK(S217),"",VLOOKUP(S217,'[1]plan gier'!$X:$AN,16,FALSE))</f>
        <v>0</v>
      </c>
      <c r="AM217" s="61">
        <f>IF(ISBLANK(S217),"",VLOOKUP(S217,'[1]plan gier'!$X:$AN,17,FALSE))</f>
        <v>0</v>
      </c>
      <c r="AN217" s="62">
        <f t="shared" si="23"/>
        <v>21</v>
      </c>
      <c r="AO217" s="61">
        <f t="shared" si="23"/>
        <v>19</v>
      </c>
      <c r="AP217" s="63">
        <f t="shared" si="23"/>
        <v>21</v>
      </c>
      <c r="AQ217" s="61">
        <f t="shared" si="23"/>
        <v>9</v>
      </c>
      <c r="AR217" s="63">
        <f t="shared" si="23"/>
        <v>0</v>
      </c>
      <c r="AS217" s="61">
        <f t="shared" si="23"/>
        <v>0</v>
      </c>
      <c r="AT217" s="51">
        <f>SUM(AN217:AS217)</f>
        <v>70</v>
      </c>
      <c r="AU217" s="52">
        <v>2</v>
      </c>
      <c r="AV217" s="60">
        <f>IF(AH218&lt;AI218,1,0)+IF(AJ218&lt;AK218,1,0)+IF(AL218&lt;AM218,1,0)</f>
        <v>2</v>
      </c>
      <c r="AW217" s="61">
        <f>AX216</f>
        <v>1</v>
      </c>
      <c r="AX217" s="64"/>
      <c r="AY217" s="65"/>
      <c r="AZ217" s="61">
        <f>IF(AH217&gt;AI217,1,0)+IF(AJ217&gt;AK217,1,0)+IF(AL217&gt;AM217,1,0)</f>
        <v>2</v>
      </c>
      <c r="BA217" s="66">
        <f>AX218</f>
        <v>0</v>
      </c>
      <c r="BD217" s="60">
        <f>AN217+AP217+AR217+AO218+AQ218+AS218</f>
        <v>101</v>
      </c>
      <c r="BE217" s="66">
        <f>AO217+AQ217+AS217+AN218+AP218+AR218</f>
        <v>80</v>
      </c>
      <c r="BF217" s="60">
        <f>AV217+AZ217</f>
        <v>4</v>
      </c>
      <c r="BG217" s="66">
        <f>AW217+BA217</f>
        <v>1</v>
      </c>
      <c r="BH217" s="60">
        <f>IF(AV217&gt;AW217,1,0)+IF(AZ217&gt;BA217,1,0)</f>
        <v>2</v>
      </c>
      <c r="BI217" s="67">
        <f>IF(AW217&gt;AV217,1,0)+IF(BA217&gt;AZ217,1,0)</f>
        <v>0</v>
      </c>
      <c r="BJ217" s="68">
        <f>IF(BH217+BI217=0,"",IF(BK217=MAX(BK216:BK218),1,IF(BK217=MIN(BK216:BK218),3,2)))</f>
        <v>1</v>
      </c>
      <c r="BK217" s="13">
        <f>IF(BH217+BI217&lt;&gt;0,BH217-BI217+(BF217-BG217)/100+(BD217-BE217)/10000,-2)</f>
        <v>2.0321</v>
      </c>
    </row>
    <row r="218" spans="1:63" ht="11.25" customHeight="1" thickBot="1">
      <c r="A218" s="12">
        <f>S218</f>
        <v>71</v>
      </c>
      <c r="B218" s="2" t="str">
        <f>IF(N214="","",N214)</f>
        <v>K0003</v>
      </c>
      <c r="C218" s="2">
        <f>IF(N215="","",N215)</f>
      </c>
      <c r="D218" s="2" t="str">
        <f>IF(N217="","",N217)</f>
        <v>M0008</v>
      </c>
      <c r="E218" s="2">
        <f>IF(N218="","",N218)</f>
      </c>
      <c r="I218" s="2" t="str">
        <f>"3"&amp;O212&amp;N213</f>
        <v>32Old Boys</v>
      </c>
      <c r="J218" s="29" t="str">
        <f>IF(AC219="","",IF(AC213=3,N214,IF(AC216=3,N217,IF(AC219=3,N220,""))))</f>
        <v>P0023</v>
      </c>
      <c r="K218" s="29">
        <f>IF(AC219="","",IF(AC213=3,N215,IF(AC216=3,N218,IF(AC219=3,N221,""))))</f>
        <v>0</v>
      </c>
      <c r="M218" s="39" t="str">
        <f>N213</f>
        <v>Old Boys</v>
      </c>
      <c r="N218" s="35"/>
      <c r="O218" s="23"/>
      <c r="P218" s="23"/>
      <c r="Q218" s="40">
        <f>IF(AT218&gt;0,"",IF(A218=0,"",IF(VLOOKUP(A218,'[1]plan gier'!A:S,19,FALSE)="","",VLOOKUP(A218,'[1]plan gier'!A:S,19,FALSE))))</f>
      </c>
      <c r="R218" s="69" t="s">
        <v>18</v>
      </c>
      <c r="S218" s="42">
        <v>71</v>
      </c>
      <c r="T218" s="261"/>
      <c r="U218" s="273">
        <f>IF(N218&lt;&gt;"",CONCATENATE(VLOOKUP(N218,'[1]zawodnicy'!$A:$E,1,FALSE)," ",VLOOKUP(N218,'[1]zawodnicy'!$A:$E,2,FALSE)," ",VLOOKUP(N218,'[1]zawodnicy'!$A:$E,3,FALSE)," - ",VLOOKUP(N218,'[1]zawodnicy'!$A:$E,4,FALSE)),"")</f>
      </c>
      <c r="V218" s="274"/>
      <c r="W218" s="70" t="str">
        <f>IF(SUM(AR218:AS218)=0,"",AS218&amp;":"&amp;AR218)</f>
        <v>21:12</v>
      </c>
      <c r="X218" s="59"/>
      <c r="Y218" s="37">
        <f>IF(SUM(AR217:AS217)=0,"",AR217&amp;":"&amp;AS217)</f>
      </c>
      <c r="Z218" s="261"/>
      <c r="AA218" s="266"/>
      <c r="AB218" s="266"/>
      <c r="AC218" s="269"/>
      <c r="AD218" s="2"/>
      <c r="AE218" s="22"/>
      <c r="AF218" s="22"/>
      <c r="AG218" s="69" t="s">
        <v>18</v>
      </c>
      <c r="AH218" s="71">
        <f>IF(ISBLANK(S218),"",VLOOKUP(S218,'[1]plan gier'!$X:$AN,12,FALSE))</f>
        <v>21</v>
      </c>
      <c r="AI218" s="72">
        <f>IF(ISBLANK(S218),"",VLOOKUP(S218,'[1]plan gier'!$X:$AN,13,FALSE))</f>
        <v>17</v>
      </c>
      <c r="AJ218" s="72">
        <f>IF(ISBLANK(S218),"",VLOOKUP(S218,'[1]plan gier'!$X:$AN,14,FALSE))</f>
        <v>19</v>
      </c>
      <c r="AK218" s="72">
        <f>IF(ISBLANK(S218),"",VLOOKUP(S218,'[1]plan gier'!$X:$AN,15,FALSE))</f>
        <v>21</v>
      </c>
      <c r="AL218" s="72">
        <f>IF(ISBLANK(S218),"",VLOOKUP(S218,'[1]plan gier'!$X:$AN,16,FALSE))</f>
        <v>12</v>
      </c>
      <c r="AM218" s="72">
        <f>IF(ISBLANK(S218),"",VLOOKUP(S218,'[1]plan gier'!$X:$AN,17,FALSE))</f>
        <v>21</v>
      </c>
      <c r="AN218" s="73">
        <f t="shared" si="23"/>
        <v>21</v>
      </c>
      <c r="AO218" s="72">
        <f t="shared" si="23"/>
        <v>17</v>
      </c>
      <c r="AP218" s="74">
        <f t="shared" si="23"/>
        <v>19</v>
      </c>
      <c r="AQ218" s="72">
        <f t="shared" si="23"/>
        <v>21</v>
      </c>
      <c r="AR218" s="74">
        <f t="shared" si="23"/>
        <v>12</v>
      </c>
      <c r="AS218" s="72">
        <f t="shared" si="23"/>
        <v>21</v>
      </c>
      <c r="AT218" s="51">
        <f>SUM(AN218:AS218)</f>
        <v>111</v>
      </c>
      <c r="AU218" s="52">
        <v>3</v>
      </c>
      <c r="AV218" s="71">
        <f>IF(AH216&lt;AI216,1,0)+IF(AJ216&lt;AK216,1,0)+IF(AL216&lt;AM216,1,0)</f>
        <v>0</v>
      </c>
      <c r="AW218" s="72">
        <f>AZ216</f>
        <v>2</v>
      </c>
      <c r="AX218" s="72">
        <f>IF(AH217&lt;AI217,1,0)+IF(AJ217&lt;AK217,1,0)+IF(AL217&lt;AM217,1,0)</f>
        <v>0</v>
      </c>
      <c r="AY218" s="72">
        <f>AZ217</f>
        <v>2</v>
      </c>
      <c r="AZ218" s="75"/>
      <c r="BA218" s="76"/>
      <c r="BD218" s="71">
        <f>AO216+AQ216+AS216+AO217+AQ217+AS217</f>
        <v>56</v>
      </c>
      <c r="BE218" s="77">
        <f>AN216+AP216+AR216+AN217+AP217+AR217</f>
        <v>84</v>
      </c>
      <c r="BF218" s="71">
        <f>AV218+AX218</f>
        <v>0</v>
      </c>
      <c r="BG218" s="77">
        <f>AW218+AY218</f>
        <v>4</v>
      </c>
      <c r="BH218" s="71">
        <f>IF(AV218&gt;AW218,1,0)+IF(AX218&gt;AY218,1,0)</f>
        <v>0</v>
      </c>
      <c r="BI218" s="78">
        <f>IF(AW218&gt;AV218,1,0)+IF(AY218&gt;AX218,1,0)</f>
        <v>2</v>
      </c>
      <c r="BJ218" s="79">
        <f>IF(BH218+BI218=0,"",IF(BK218=MAX(BK216:BK218),1,IF(BK218=MIN(BK216:BK218),3,2)))</f>
        <v>3</v>
      </c>
      <c r="BK218" s="13">
        <f>IF(BH218+BI218&lt;&gt;0,BH218-BI218+(BF218-BG218)/100+(BD218-BE218)/10000,-2)</f>
        <v>-2.0428</v>
      </c>
    </row>
    <row r="219" spans="1:59" ht="11.25" customHeight="1">
      <c r="A219" s="2"/>
      <c r="J219" s="23"/>
      <c r="K219" s="23"/>
      <c r="L219" s="23"/>
      <c r="O219" s="23"/>
      <c r="P219" s="23"/>
      <c r="Q219" s="2"/>
      <c r="R219" s="2"/>
      <c r="S219" s="2"/>
      <c r="T219" s="279">
        <v>3</v>
      </c>
      <c r="U219" s="280">
        <f>IF(AND(N220&lt;&gt;"",N221&lt;&gt;""),CONCATENATE(VLOOKUP(N220,'[1]zawodnicy'!$A:$E,1,FALSE)," ",VLOOKUP(N220,'[1]zawodnicy'!$A:$E,2,FALSE)," ",VLOOKUP(N220,'[1]zawodnicy'!$A:$E,3,FALSE)," - ",VLOOKUP(N220,'[1]zawodnicy'!$A:$E,4,FALSE)),"")</f>
      </c>
      <c r="V219" s="281"/>
      <c r="W219" s="43" t="str">
        <f>IF(SUM(AN216:AO216)=0,"",AO216&amp;":"&amp;AN216)</f>
        <v>16:21</v>
      </c>
      <c r="X219" s="80" t="str">
        <f>IF(SUM(AN217:AO217)=0,"",AO217&amp;":"&amp;AN217)</f>
        <v>19:21</v>
      </c>
      <c r="Y219" s="81"/>
      <c r="Z219" s="279" t="str">
        <f>IF(SUM(AV218:AY218)=0,"",BD218&amp;":"&amp;BE218)</f>
        <v>56:84</v>
      </c>
      <c r="AA219" s="282" t="str">
        <f>IF(SUM(AV218:AY218)=0,"",BF218&amp;":"&amp;BG218)</f>
        <v>0:4</v>
      </c>
      <c r="AB219" s="282" t="str">
        <f>IF(SUM(AV218:AY218)=0,"",BH218&amp;":"&amp;BI218)</f>
        <v>0:2</v>
      </c>
      <c r="AC219" s="283">
        <f>IF(SUM(BH216:BH218)&gt;0,BJ218,"")</f>
        <v>3</v>
      </c>
      <c r="AD219" s="2"/>
      <c r="AE219" s="22"/>
      <c r="AF219" s="22"/>
      <c r="BD219" s="12">
        <f>SUM(BD216:BD218)</f>
        <v>251</v>
      </c>
      <c r="BE219" s="12">
        <f>SUM(BE216:BE218)</f>
        <v>251</v>
      </c>
      <c r="BF219" s="12">
        <f>SUM(BF216:BF218)</f>
        <v>7</v>
      </c>
      <c r="BG219" s="12">
        <f>SUM(BG216:BG218)</f>
        <v>7</v>
      </c>
    </row>
    <row r="220" spans="1:63" ht="11.25" customHeight="1">
      <c r="A220" s="12"/>
      <c r="J220" s="12"/>
      <c r="K220" s="12"/>
      <c r="L220" s="12"/>
      <c r="N220" s="30" t="s">
        <v>80</v>
      </c>
      <c r="O220" s="31">
        <f>IF(O212&gt;0,(O212&amp;3)*1,"")</f>
        <v>23</v>
      </c>
      <c r="Q220" s="82"/>
      <c r="R220" s="82"/>
      <c r="S220" s="42"/>
      <c r="T220" s="260"/>
      <c r="U220" s="271" t="str">
        <f>IF(AND(N220&lt;&gt;"",N221=""),CONCATENATE(VLOOKUP(N220,'[1]zawodnicy'!$A:$E,1,FALSE)," ",VLOOKUP(N220,'[1]zawodnicy'!$A:$E,2,FALSE)," ",VLOOKUP(N220,'[1]zawodnicy'!$A:$E,3,FALSE)," - ",VLOOKUP(N220,'[1]zawodnicy'!$A:$E,4,FALSE)),"")</f>
        <v>P0023 Robert PANTOŁA - Dubiecko</v>
      </c>
      <c r="V220" s="272"/>
      <c r="W220" s="58" t="str">
        <f>IF(SUM(AP216:AQ216)=0,"",AQ216&amp;":"&amp;AP216)</f>
        <v>12:21</v>
      </c>
      <c r="X220" s="33" t="str">
        <f>IF(SUM(AP217:AQ217)=0,"",AQ217&amp;":"&amp;AP217)</f>
        <v>9:21</v>
      </c>
      <c r="Y220" s="83"/>
      <c r="Z220" s="260"/>
      <c r="AA220" s="265"/>
      <c r="AB220" s="265"/>
      <c r="AC220" s="268"/>
      <c r="AD220" s="2"/>
      <c r="AE220" s="22"/>
      <c r="AF220" s="2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1:63" ht="11.25" customHeight="1" thickBot="1">
      <c r="A221" s="2"/>
      <c r="J221" s="23"/>
      <c r="K221" s="23"/>
      <c r="L221" s="23"/>
      <c r="N221" s="35"/>
      <c r="O221" s="23"/>
      <c r="P221" s="23"/>
      <c r="Q221" s="2"/>
      <c r="R221" s="2"/>
      <c r="S221" s="2"/>
      <c r="T221" s="284"/>
      <c r="U221" s="287">
        <f>IF(N221&lt;&gt;"",CONCATENATE(VLOOKUP(N221,'[1]zawodnicy'!$A:$E,1,FALSE)," ",VLOOKUP(N221,'[1]zawodnicy'!$A:$E,2,FALSE)," ",VLOOKUP(N221,'[1]zawodnicy'!$A:$E,3,FALSE)," - ",VLOOKUP(N221,'[1]zawodnicy'!$A:$E,4,FALSE)),"")</f>
      </c>
      <c r="V221" s="288"/>
      <c r="W221" s="84">
        <f>IF(SUM(AR216:AS216)=0,"",AS216&amp;":"&amp;AR216)</f>
      </c>
      <c r="X221" s="85">
        <f>IF(SUM(AR217:AS217)=0,"",AS217&amp;":"&amp;AR217)</f>
      </c>
      <c r="Y221" s="86"/>
      <c r="Z221" s="284"/>
      <c r="AA221" s="285"/>
      <c r="AB221" s="285"/>
      <c r="AC221" s="286"/>
      <c r="AD221" s="29"/>
      <c r="AE221" s="22"/>
      <c r="AF221" s="2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ht="11.25" customHeight="1"/>
    <row r="223" ht="11.25" customHeight="1"/>
    <row r="224" spans="10:63" ht="11.25" customHeight="1">
      <c r="J224" s="2"/>
      <c r="K224" s="2"/>
      <c r="L224" s="2"/>
      <c r="M224" s="115"/>
      <c r="N224" s="219">
        <v>1</v>
      </c>
      <c r="O224" s="89"/>
      <c r="P224" s="89"/>
      <c r="Q224" s="1"/>
      <c r="R224" s="1"/>
      <c r="S224" s="306" t="s">
        <v>81</v>
      </c>
      <c r="T224" s="306"/>
      <c r="U224" s="306"/>
      <c r="V224" s="306"/>
      <c r="W224" s="306"/>
      <c r="X224" s="306"/>
      <c r="Y224" s="306"/>
      <c r="Z224" s="306"/>
      <c r="AA224" s="306"/>
      <c r="AB224" s="306"/>
      <c r="AC224" s="101"/>
      <c r="AD224" s="101"/>
      <c r="AE224" s="101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10:63" ht="11.25" customHeight="1">
      <c r="J225" s="2"/>
      <c r="K225" s="2"/>
      <c r="L225" s="2"/>
      <c r="N225" s="220" t="s">
        <v>76</v>
      </c>
      <c r="P225" s="89"/>
      <c r="Q225" s="1"/>
      <c r="R225" s="1"/>
      <c r="S225" s="1"/>
      <c r="T225" s="90"/>
      <c r="U225" s="91"/>
      <c r="V225" s="91"/>
      <c r="W225" s="91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1:63" ht="11.25" customHeight="1">
      <c r="A226" s="92">
        <f>V226</f>
        <v>73</v>
      </c>
      <c r="B226" s="2" t="str">
        <f>IF(S226="","",S226)</f>
        <v>B0009</v>
      </c>
      <c r="D226" s="2" t="str">
        <f>IF(S227="","",S227)</f>
        <v>M0008</v>
      </c>
      <c r="F226" s="2" t="str">
        <f>IF(A226=0,IF(AND(LEN(B226)&gt;0,LEN(D226)=0),VLOOKUP(B226,'[1]zawodnicy'!$A:$E,1,FALSE),IF(AND(LEN(D226)&gt;0,LEN(B226)=0),VLOOKUP(D226,'[1]zawodnicy'!$A:$E,1,FALSE),"")),IF((VLOOKUP(A226,'[1]plan gier'!$X:$AF,7,FALSE))="","",VLOOKUP(VLOOKUP(A226,'[1]plan gier'!$X:$AF,7,FALSE),'[1]zawodnicy'!$A:$E,1,FALSE)))</f>
        <v>B0009</v>
      </c>
      <c r="H226" s="2" t="str">
        <f>IF(A226=0,"",IF((VLOOKUP(A226,'[1]plan gier'!$X:$AF,7,FALSE))="","",VLOOKUP(A226,'[1]plan gier'!$X:$AF,9,FALSE)))</f>
        <v>21:13,21:9</v>
      </c>
      <c r="J226" s="93"/>
      <c r="K226" s="93"/>
      <c r="L226" s="117" t="str">
        <f>IF(A226=0,"",IF(VLOOKUP(A226,'[1]plan gier'!A:S,19,FALSE)="","",VLOOKUP(A226,'[1]plan gier'!A:S,19,FALSE)))</f>
        <v>godz.15:00</v>
      </c>
      <c r="M226" s="2" t="str">
        <f>N225</f>
        <v>Old Boys</v>
      </c>
      <c r="N226" s="118"/>
      <c r="O226" s="221">
        <v>1</v>
      </c>
      <c r="P226" s="94"/>
      <c r="Q226" s="87">
        <f>O226</f>
        <v>1</v>
      </c>
      <c r="S226" s="302" t="str">
        <f>UPPER(IF(O226="","",IF(ISTEXT(N226),N226,IF(AND(N224&gt;0,O226&gt;0),VLOOKUP(N224&amp;O226&amp;N225,I:J,2,FALSE),""))))</f>
        <v>B0009</v>
      </c>
      <c r="T226" s="303"/>
      <c r="U226" s="104" t="str">
        <f>IF(S226&lt;&gt;"",CONCATENATE(VLOOKUP(S226,'[1]zawodnicy'!$A:$E,2,FALSE)," ",VLOOKUP(S226,'[1]zawodnicy'!$A:$E,3,FALSE)," - ",VLOOKUP(S226,'[1]zawodnicy'!$A:$E,4,FALSE)),"")</f>
        <v>Adam BUNIO - Nowa Dęba</v>
      </c>
      <c r="V226" s="105">
        <v>73</v>
      </c>
      <c r="W226" s="297" t="str">
        <f>IF(F226="","",VLOOKUP(F226,'[1]zawodnicy'!$A:$D,3,FALSE))</f>
        <v>BUNIO</v>
      </c>
      <c r="X226" s="298"/>
      <c r="Y226" s="298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10:63" ht="11.25" customHeight="1">
      <c r="J227" s="93"/>
      <c r="K227" s="93"/>
      <c r="L227" s="93"/>
      <c r="N227" s="118"/>
      <c r="O227" s="222">
        <v>2</v>
      </c>
      <c r="P227" s="94"/>
      <c r="Q227" s="87">
        <f>O227</f>
        <v>2</v>
      </c>
      <c r="S227" s="302" t="str">
        <f>UPPER(IF(O227="","",IF(ISTEXT(N227),N227,IF(AND(N224&gt;0,O227&gt;0),VLOOKUP(N224&amp;O227&amp;N225,I:J,2,FALSE),""))))</f>
        <v>M0008</v>
      </c>
      <c r="T227" s="303"/>
      <c r="U227" s="104" t="str">
        <f>IF(S227&lt;&gt;"",CONCATENATE(VLOOKUP(S227,'[1]zawodnicy'!$A:$E,2,FALSE)," ",VLOOKUP(S227,'[1]zawodnicy'!$A:$E,3,FALSE)," - ",VLOOKUP(S227,'[1]zawodnicy'!$A:$E,4,FALSE)),"")</f>
        <v>Tadeusz MICHALIK - Tarnów</v>
      </c>
      <c r="V227" s="107"/>
      <c r="W227" s="299" t="str">
        <f>IF(H226="",L226,H226)</f>
        <v>21:13,21:9</v>
      </c>
      <c r="X227" s="300"/>
      <c r="Y227" s="300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ht="11.25" customHeight="1"/>
    <row r="229" ht="11.25" customHeight="1"/>
    <row r="230" ht="11.25" customHeight="1"/>
    <row r="231" spans="10:63" ht="11.25" customHeight="1">
      <c r="J231" s="2"/>
      <c r="K231" s="2"/>
      <c r="L231" s="2"/>
      <c r="M231" s="115"/>
      <c r="N231" s="219">
        <v>2</v>
      </c>
      <c r="O231" s="89"/>
      <c r="P231" s="89"/>
      <c r="Q231" s="1"/>
      <c r="R231" s="1"/>
      <c r="S231" s="306" t="s">
        <v>82</v>
      </c>
      <c r="T231" s="306"/>
      <c r="U231" s="306"/>
      <c r="V231" s="306"/>
      <c r="W231" s="306"/>
      <c r="X231" s="306"/>
      <c r="Y231" s="306"/>
      <c r="Z231" s="306"/>
      <c r="AA231" s="306"/>
      <c r="AB231" s="306"/>
      <c r="AC231" s="101"/>
      <c r="AD231" s="101"/>
      <c r="AE231" s="101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10:63" ht="11.25" customHeight="1">
      <c r="J232" s="2"/>
      <c r="K232" s="2"/>
      <c r="L232" s="2"/>
      <c r="N232" s="220" t="s">
        <v>76</v>
      </c>
      <c r="P232" s="89"/>
      <c r="Q232" s="1"/>
      <c r="R232" s="1"/>
      <c r="S232" s="1"/>
      <c r="T232" s="90"/>
      <c r="U232" s="91"/>
      <c r="V232" s="91"/>
      <c r="W232" s="91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1:63" ht="11.25" customHeight="1">
      <c r="A233" s="92">
        <f>V233</f>
        <v>72</v>
      </c>
      <c r="B233" s="2" t="str">
        <f>IF(S233="","",S233)</f>
        <v>O0004</v>
      </c>
      <c r="D233" s="2" t="str">
        <f>IF(S234="","",S234)</f>
        <v>K0003</v>
      </c>
      <c r="F233" s="2" t="str">
        <f>IF(A233=0,IF(AND(LEN(B233)&gt;0,LEN(D233)=0),VLOOKUP(B233,'[1]zawodnicy'!$A:$E,1,FALSE),IF(AND(LEN(D233)&gt;0,LEN(B233)=0),VLOOKUP(D233,'[1]zawodnicy'!$A:$E,1,FALSE),"")),IF((VLOOKUP(A233,'[1]plan gier'!$X:$AF,7,FALSE))="","",VLOOKUP(VLOOKUP(A233,'[1]plan gier'!$X:$AF,7,FALSE),'[1]zawodnicy'!$A:$E,1,FALSE)))</f>
        <v>K0003</v>
      </c>
      <c r="H233" s="2" t="str">
        <f>IF(A233=0,"",IF((VLOOKUP(A233,'[1]plan gier'!$X:$AF,7,FALSE))="","",VLOOKUP(A233,'[1]plan gier'!$X:$AF,9,FALSE)))</f>
        <v>21:18,21:12</v>
      </c>
      <c r="J233" s="93"/>
      <c r="K233" s="93"/>
      <c r="L233" s="117" t="str">
        <f>IF(A233=0,"",IF(VLOOKUP(A233,'[1]plan gier'!A:S,19,FALSE)="","",VLOOKUP(A233,'[1]plan gier'!A:S,19,FALSE)))</f>
        <v>godz.14:40</v>
      </c>
      <c r="M233" s="2" t="str">
        <f>N232</f>
        <v>Old Boys</v>
      </c>
      <c r="N233" s="118"/>
      <c r="O233" s="221">
        <v>1</v>
      </c>
      <c r="P233" s="94"/>
      <c r="Q233" s="87">
        <f>O233</f>
        <v>1</v>
      </c>
      <c r="S233" s="302" t="str">
        <f>UPPER(IF(O233="","",IF(ISTEXT(N233),N233,IF(AND(N231&gt;0,O233&gt;0),VLOOKUP(N231&amp;O233&amp;N232,I:J,2,FALSE),""))))</f>
        <v>O0004</v>
      </c>
      <c r="T233" s="303"/>
      <c r="U233" s="104" t="str">
        <f>IF(S233&lt;&gt;"",CONCATENATE(VLOOKUP(S233,'[1]zawodnicy'!$A:$E,2,FALSE)," ",VLOOKUP(S233,'[1]zawodnicy'!$A:$E,3,FALSE)," - ",VLOOKUP(S233,'[1]zawodnicy'!$A:$E,4,FALSE)),"")</f>
        <v>Krzysztof ORZECHOWICZ - Tarnowiec</v>
      </c>
      <c r="V233" s="105">
        <v>72</v>
      </c>
      <c r="W233" s="297" t="str">
        <f>IF(F233="","",VLOOKUP(F233,'[1]zawodnicy'!$A:$D,3,FALSE))</f>
        <v>KARNASIEWICZ</v>
      </c>
      <c r="X233" s="298"/>
      <c r="Y233" s="298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10:63" ht="11.25" customHeight="1">
      <c r="J234" s="93"/>
      <c r="K234" s="93"/>
      <c r="L234" s="93"/>
      <c r="N234" s="118"/>
      <c r="O234" s="222">
        <v>2</v>
      </c>
      <c r="P234" s="94"/>
      <c r="Q234" s="87">
        <f>O234</f>
        <v>2</v>
      </c>
      <c r="S234" s="302" t="str">
        <f>UPPER(IF(O234="","",IF(ISTEXT(N234),N234,IF(AND(N231&gt;0,O234&gt;0),VLOOKUP(N231&amp;O234&amp;N232,I:J,2,FALSE),""))))</f>
        <v>K0003</v>
      </c>
      <c r="T234" s="303"/>
      <c r="U234" s="104" t="str">
        <f>IF(S234&lt;&gt;"",CONCATENATE(VLOOKUP(S234,'[1]zawodnicy'!$A:$E,2,FALSE)," ",VLOOKUP(S234,'[1]zawodnicy'!$A:$E,3,FALSE)," - ",VLOOKUP(S234,'[1]zawodnicy'!$A:$E,4,FALSE)),"")</f>
        <v>Robert KARNASIEWICZ - Mielec</v>
      </c>
      <c r="V234" s="107"/>
      <c r="W234" s="299" t="str">
        <f>IF(H233="",L233,H233)</f>
        <v>21:18,21:12</v>
      </c>
      <c r="X234" s="300"/>
      <c r="Y234" s="300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ht="11.25" customHeight="1"/>
    <row r="236" ht="11.25" customHeight="1"/>
    <row r="237" ht="11.25" customHeight="1"/>
    <row r="238" spans="13:31" ht="11.25" customHeight="1">
      <c r="M238" s="9"/>
      <c r="N238" s="10" t="s">
        <v>83</v>
      </c>
      <c r="Q238" s="253" t="str">
        <f>"Gra "&amp;N238</f>
        <v>Gra Open</v>
      </c>
      <c r="R238" s="253"/>
      <c r="S238" s="253"/>
      <c r="T238" s="253"/>
      <c r="U238" s="253"/>
      <c r="V238" s="253"/>
      <c r="W238" s="253"/>
      <c r="X238" s="253"/>
      <c r="Y238" s="253"/>
      <c r="Z238" s="253"/>
      <c r="AA238" s="253"/>
      <c r="AB238" s="253"/>
      <c r="AC238" s="253"/>
      <c r="AD238" s="253"/>
      <c r="AE238" s="253"/>
    </row>
    <row r="239" ht="11.25" customHeight="1" thickBot="1"/>
    <row r="240" spans="14:31" s="12" customFormat="1" ht="11.25" customHeight="1" thickBot="1">
      <c r="N240" s="149"/>
      <c r="O240" s="150"/>
      <c r="P240" s="150"/>
      <c r="Q240" s="257" t="s">
        <v>7</v>
      </c>
      <c r="R240" s="257"/>
      <c r="S240" s="310" t="s">
        <v>8</v>
      </c>
      <c r="T240" s="151"/>
      <c r="U240" s="255" t="s">
        <v>2</v>
      </c>
      <c r="V240" s="309"/>
      <c r="W240" s="152">
        <v>1</v>
      </c>
      <c r="X240" s="153">
        <v>2</v>
      </c>
      <c r="Y240" s="154">
        <v>3</v>
      </c>
      <c r="Z240" s="155">
        <v>4</v>
      </c>
      <c r="AA240" s="156">
        <v>5</v>
      </c>
      <c r="AB240" s="19" t="s">
        <v>3</v>
      </c>
      <c r="AC240" s="20" t="s">
        <v>4</v>
      </c>
      <c r="AD240" s="123" t="s">
        <v>5</v>
      </c>
      <c r="AE240" s="21" t="s">
        <v>6</v>
      </c>
    </row>
    <row r="241" spans="10:32" s="12" customFormat="1" ht="11.25" customHeight="1">
      <c r="J241" s="23"/>
      <c r="K241" s="23"/>
      <c r="L241" s="23"/>
      <c r="N241" s="24" t="s">
        <v>83</v>
      </c>
      <c r="O241" s="8"/>
      <c r="P241" s="23"/>
      <c r="Q241" s="257"/>
      <c r="R241" s="257"/>
      <c r="S241" s="310"/>
      <c r="T241" s="259">
        <v>1</v>
      </c>
      <c r="U241" s="262">
        <f>IF(AND(N242&lt;&gt;"",N243&lt;&gt;""),CONCATENATE(VLOOKUP(N242,'[1]zawodnicy'!$A:$E,1,FALSE)," ",VLOOKUP(N242,'[1]zawodnicy'!$A:$E,2,FALSE)," ",VLOOKUP(N242,'[1]zawodnicy'!$A:$E,3,FALSE)," - ",VLOOKUP(N242,'[1]zawodnicy'!$A:$E,4,FALSE)),"")</f>
      </c>
      <c r="V241" s="320"/>
      <c r="W241" s="321"/>
      <c r="X241" s="26" t="str">
        <f>IF(SUM(AO253:AP253)=0,"",AO253&amp;":"&amp;AP253)</f>
        <v>21:16</v>
      </c>
      <c r="Y241" s="157" t="str">
        <f>IF(SUM(AO246:AP246)=0,"",AO246&amp;":"&amp;AP246)</f>
        <v>22:20</v>
      </c>
      <c r="Z241" s="157" t="str">
        <f>IF(SUM(AO250:AP250)=0,"",AP250&amp;":"&amp;AO250)</f>
        <v>21:10</v>
      </c>
      <c r="AA241" s="158" t="str">
        <f>IF(SUM(AO249:AP249)=0,"",AP249&amp;":"&amp;AO249)</f>
        <v>14:21</v>
      </c>
      <c r="AB241" s="324" t="str">
        <f>IF(SUM(AX244:BE244)=0,"",BF244&amp;":"&amp;BG244)</f>
        <v>183:125</v>
      </c>
      <c r="AC241" s="264" t="str">
        <f>IF(SUM(AX244:BE244)=0,"",BH244&amp;":"&amp;BI244)</f>
        <v>8:1</v>
      </c>
      <c r="AD241" s="264" t="str">
        <f>IF(SUM(AX244:BE244)=0,"",BJ244&amp;":"&amp;BK244)</f>
        <v>4:0</v>
      </c>
      <c r="AE241" s="267">
        <f>IF(SUM(BJ244:BJ248)&gt;0,BL244,"")</f>
        <v>1</v>
      </c>
      <c r="AF241" s="159"/>
    </row>
    <row r="242" spans="14:32" s="12" customFormat="1" ht="11.25" customHeight="1" thickBot="1">
      <c r="N242" s="30" t="s">
        <v>84</v>
      </c>
      <c r="O242" s="23"/>
      <c r="P242" s="23"/>
      <c r="Q242" s="257"/>
      <c r="R242" s="257"/>
      <c r="S242" s="310"/>
      <c r="T242" s="260"/>
      <c r="U242" s="271" t="str">
        <f>IF(AND(N242&lt;&gt;"",N243=""),CONCATENATE(VLOOKUP(N242,'[1]zawodnicy'!$A:$E,1,FALSE)," ",VLOOKUP(N242,'[1]zawodnicy'!$A:$E,2,FALSE)," ",VLOOKUP(N242,'[1]zawodnicy'!$A:$E,3,FALSE)," - ",VLOOKUP(N242,'[1]zawodnicy'!$A:$E,4,FALSE)),"")</f>
        <v>I0002 Igor IWAŃSKI - Mielec</v>
      </c>
      <c r="V242" s="311"/>
      <c r="W242" s="322"/>
      <c r="X242" s="33" t="str">
        <f>IF(SUM(AQ253:AR253)=0,"",AQ253&amp;":"&amp;AR253)</f>
        <v>21:4</v>
      </c>
      <c r="Y242" s="160" t="str">
        <f>IF(SUM(AQ246:AR246)=0,"",AQ246&amp;":"&amp;AR246)</f>
        <v>21:13</v>
      </c>
      <c r="Z242" s="160" t="str">
        <f>IF(SUM(AQ250:AR250)=0,"",AR250&amp;":"&amp;AQ250)</f>
        <v>21:10</v>
      </c>
      <c r="AA242" s="161" t="str">
        <f>IF(SUM(AQ249:AR249)=0,"",AR249&amp;":"&amp;AQ249)</f>
        <v>21:12</v>
      </c>
      <c r="AB242" s="325"/>
      <c r="AC242" s="265"/>
      <c r="AD242" s="265"/>
      <c r="AE242" s="268"/>
      <c r="AF242" s="159"/>
    </row>
    <row r="243" spans="10:64" s="12" customFormat="1" ht="11.25" customHeight="1" thickBot="1">
      <c r="J243" s="23"/>
      <c r="K243" s="23"/>
      <c r="L243" s="23"/>
      <c r="N243" s="35"/>
      <c r="O243" s="23"/>
      <c r="P243" s="23"/>
      <c r="T243" s="261"/>
      <c r="U243" s="273">
        <f>IF(N243&lt;&gt;"",CONCATENATE(VLOOKUP(N243,'[1]zawodnicy'!$A:$E,1,FALSE)," ",VLOOKUP(N243,'[1]zawodnicy'!$A:$E,2,FALSE)," ",VLOOKUP(N243,'[1]zawodnicy'!$A:$E,3,FALSE)," - ",VLOOKUP(N243,'[1]zawodnicy'!$A:$E,4,FALSE)),"")</f>
      </c>
      <c r="V243" s="312"/>
      <c r="W243" s="323"/>
      <c r="X243" s="36">
        <f>IF(SUM(AS253:AT253)=0,"",AS253&amp;":"&amp;AT253)</f>
      </c>
      <c r="Y243" s="162">
        <f>IF(SUM(AS246:AT246)=0,"",AS246&amp;":"&amp;AT246)</f>
      </c>
      <c r="Z243" s="162">
        <f>IF(SUM(AS250:AT250)=0,"",AT250&amp;":"&amp;AS250)</f>
      </c>
      <c r="AA243" s="163" t="str">
        <f>IF(SUM(AS249:AT249)=0,"",AT249&amp;":"&amp;AS249)</f>
        <v>21:19</v>
      </c>
      <c r="AB243" s="326"/>
      <c r="AC243" s="266"/>
      <c r="AD243" s="266"/>
      <c r="AE243" s="269"/>
      <c r="AF243" s="159"/>
      <c r="AG243" s="159"/>
      <c r="AH243" s="327" t="s">
        <v>12</v>
      </c>
      <c r="AI243" s="328"/>
      <c r="AJ243" s="329" t="s">
        <v>13</v>
      </c>
      <c r="AK243" s="328"/>
      <c r="AL243" s="329" t="s">
        <v>14</v>
      </c>
      <c r="AM243" s="330"/>
      <c r="AN243" s="159"/>
      <c r="AO243" s="331" t="s">
        <v>12</v>
      </c>
      <c r="AP243" s="332"/>
      <c r="AQ243" s="332" t="s">
        <v>13</v>
      </c>
      <c r="AR243" s="332"/>
      <c r="AS243" s="332" t="s">
        <v>14</v>
      </c>
      <c r="AT243" s="333"/>
      <c r="AU243" s="159"/>
      <c r="AV243" s="334">
        <v>1</v>
      </c>
      <c r="AW243" s="335"/>
      <c r="AX243" s="335">
        <v>2</v>
      </c>
      <c r="AY243" s="335"/>
      <c r="AZ243" s="335">
        <v>3</v>
      </c>
      <c r="BA243" s="335"/>
      <c r="BB243" s="335">
        <v>4</v>
      </c>
      <c r="BC243" s="336"/>
      <c r="BD243" s="314">
        <v>5</v>
      </c>
      <c r="BE243" s="315"/>
      <c r="BF243" s="334" t="s">
        <v>3</v>
      </c>
      <c r="BG243" s="337"/>
      <c r="BH243" s="334" t="s">
        <v>4</v>
      </c>
      <c r="BI243" s="337"/>
      <c r="BJ243" s="334" t="s">
        <v>5</v>
      </c>
      <c r="BK243" s="336"/>
      <c r="BL243" s="164" t="s">
        <v>6</v>
      </c>
    </row>
    <row r="244" spans="1:71" s="12" customFormat="1" ht="11.25" customHeight="1">
      <c r="A244" s="12">
        <f aca="true" t="shared" si="24" ref="A244:A253">S244</f>
        <v>74</v>
      </c>
      <c r="B244" s="12" t="str">
        <f>IF(N245="","",N245)</f>
        <v>S0020</v>
      </c>
      <c r="C244" s="12">
        <f>IF(N246="","",N246)</f>
      </c>
      <c r="D244" s="12" t="str">
        <f>IF(N254="","",N254)</f>
        <v>B0009</v>
      </c>
      <c r="E244" s="12">
        <f>IF(N255="","",N255)</f>
      </c>
      <c r="J244" s="23"/>
      <c r="K244" s="23"/>
      <c r="M244" s="12" t="str">
        <f>N241</f>
        <v>Open</v>
      </c>
      <c r="N244" s="28"/>
      <c r="O244" s="23"/>
      <c r="P244" s="23"/>
      <c r="Q244" s="40">
        <f>IF(AN244&gt;0,"",IF(A244=0,"",IF(VLOOKUP(A244,'[1]plan gier'!A:S,19,FALSE)="","",VLOOKUP(A244,'[1]plan gier'!A:S,19,FALSE))))</f>
      </c>
      <c r="R244" s="165" t="s">
        <v>69</v>
      </c>
      <c r="S244" s="42">
        <v>74</v>
      </c>
      <c r="T244" s="279">
        <v>2</v>
      </c>
      <c r="U244" s="280">
        <f>IF(AND(N245&lt;&gt;"",N246&lt;&gt;""),CONCATENATE(VLOOKUP(N245,'[1]zawodnicy'!$A:$E,1,FALSE)," ",VLOOKUP(N245,'[1]zawodnicy'!$A:$E,2,FALSE)," ",VLOOKUP(N245,'[1]zawodnicy'!$A:$E,3,FALSE)," - ",VLOOKUP(N245,'[1]zawodnicy'!$A:$E,4,FALSE)),"")</f>
      </c>
      <c r="V244" s="316"/>
      <c r="W244" s="166" t="str">
        <f>IF(SUM(AO253:AP253)=0,"",AP253&amp;":"&amp;AO253)</f>
        <v>16:21</v>
      </c>
      <c r="X244" s="338"/>
      <c r="Y244" s="167" t="str">
        <f>IF(SUM(AO251:AP251)=0,"",AO251&amp;":"&amp;AP251)</f>
        <v>21:18</v>
      </c>
      <c r="Z244" s="167" t="str">
        <f>IF(SUM(AO248:AP248)=0,"",AP248&amp;":"&amp;AO248)</f>
        <v>21:13</v>
      </c>
      <c r="AA244" s="168" t="str">
        <f>IF(SUM(AO244:AP244)=0,"",AO244&amp;":"&amp;AP244)</f>
        <v>9:21</v>
      </c>
      <c r="AB244" s="341" t="str">
        <f>IF(SUM(AV245:AW245,AZ245:BE245)=0,"",BF245&amp;":"&amp;BG245)</f>
        <v>124:135</v>
      </c>
      <c r="AC244" s="282" t="str">
        <f>IF(SUM(AV245:AW245,AZ245:BE245)=0,"",BH245&amp;":"&amp;BI245)</f>
        <v>4:4</v>
      </c>
      <c r="AD244" s="282" t="str">
        <f>IF(SUM(AV245:AW245,AZ245:BE245)=0,"",BJ245&amp;":"&amp;BK245)</f>
        <v>2:2</v>
      </c>
      <c r="AE244" s="283">
        <f>IF(SUM(BJ244:BJ248)&gt;0,BL245,"")</f>
        <v>3</v>
      </c>
      <c r="AF244" s="159"/>
      <c r="AG244" s="169" t="s">
        <v>69</v>
      </c>
      <c r="AH244" s="170">
        <f>IF(ISBLANK(S244),"",VLOOKUP(S244,'[1]plan gier'!$X:$AN,12,FALSE))</f>
        <v>9</v>
      </c>
      <c r="AI244" s="171">
        <f>IF(ISBLANK(S244),"",VLOOKUP(S244,'[1]plan gier'!$X:$AN,13,FALSE))</f>
        <v>21</v>
      </c>
      <c r="AJ244" s="171">
        <f>IF(ISBLANK(S244),"",VLOOKUP(S244,'[1]plan gier'!$X:$AN,14,FALSE))</f>
        <v>11</v>
      </c>
      <c r="AK244" s="171">
        <f>IF(ISBLANK(S244),"",VLOOKUP(S244,'[1]plan gier'!$X:$AN,15,FALSE))</f>
        <v>21</v>
      </c>
      <c r="AL244" s="171">
        <f>IF(ISBLANK(S244),"",VLOOKUP(S244,'[1]plan gier'!$X:$AN,16,FALSE))</f>
        <v>0</v>
      </c>
      <c r="AM244" s="172">
        <f>IF(ISBLANK(S244),"",VLOOKUP(S244,'[1]plan gier'!$X:$AN,17,FALSE))</f>
        <v>0</v>
      </c>
      <c r="AN244" s="173">
        <f aca="true" t="shared" si="25" ref="AN244:AN253">SUM(AO244:AT244)</f>
        <v>62</v>
      </c>
      <c r="AO244" s="174">
        <f aca="true" t="shared" si="26" ref="AO244:AT253">IF(AH244="",0,AH244)</f>
        <v>9</v>
      </c>
      <c r="AP244" s="171">
        <f t="shared" si="26"/>
        <v>21</v>
      </c>
      <c r="AQ244" s="175">
        <f t="shared" si="26"/>
        <v>11</v>
      </c>
      <c r="AR244" s="171">
        <f t="shared" si="26"/>
        <v>21</v>
      </c>
      <c r="AS244" s="175">
        <f t="shared" si="26"/>
        <v>0</v>
      </c>
      <c r="AT244" s="172">
        <f t="shared" si="26"/>
        <v>0</v>
      </c>
      <c r="AU244" s="176">
        <v>1</v>
      </c>
      <c r="AV244" s="342"/>
      <c r="AW244" s="343"/>
      <c r="AX244" s="177">
        <f>IF(AO253&gt;AP253,1,0)+IF(AQ253&gt;AR253,1,0)+IF(AS253&gt;AT253,1,0)</f>
        <v>2</v>
      </c>
      <c r="AY244" s="177">
        <f>AV245</f>
        <v>0</v>
      </c>
      <c r="AZ244" s="177">
        <f>IF(AO246&gt;AP246,1,0)+IF(AQ246&gt;AR246,1,0)+IF(AS246&gt;AT246,1,0)</f>
        <v>2</v>
      </c>
      <c r="BA244" s="171">
        <f>AV246</f>
        <v>0</v>
      </c>
      <c r="BB244" s="178">
        <f>IF(AP250&gt;AO250,1,0)+IF(AR250&gt;AQ250,1,0)+IF(AT250&gt;AS250,1,0)</f>
        <v>2</v>
      </c>
      <c r="BC244" s="179">
        <f>AV247</f>
        <v>0</v>
      </c>
      <c r="BD244" s="171">
        <f>IF(AP249&gt;AO249,1,0)+IF(AR249&gt;AQ249,1,0)+IF(AT249&gt;AS249,1,0)</f>
        <v>2</v>
      </c>
      <c r="BE244" s="172">
        <f>AV248</f>
        <v>1</v>
      </c>
      <c r="BF244" s="170">
        <f>AO246+AQ246+AS246+AP249+AR249+AT249++AP250+AR250+AT250+AO253+AQ253+AS253</f>
        <v>183</v>
      </c>
      <c r="BG244" s="180">
        <f>AP246+AR246+AT246+AO249+AQ249+AS249+AO250+AQ250+AS250+AP253+AR253+AT253</f>
        <v>125</v>
      </c>
      <c r="BH244" s="170">
        <f>AX244+AZ244+BB244+BD244</f>
        <v>8</v>
      </c>
      <c r="BI244" s="172">
        <f>AY244+BA244+BC244+BE244</f>
        <v>1</v>
      </c>
      <c r="BJ244" s="170">
        <f>IF(AX244&gt;AY244,1,0)+IF(AZ244&gt;BA244,1,0)+IF(BB244&gt;BC244,1,0)+IF(BD244&gt;BE244,1,0)</f>
        <v>4</v>
      </c>
      <c r="BK244" s="172">
        <f>IF(AY244&gt;AX244,1,0)+IF(BA244&gt;AZ244,1,0)+IF(BC244&gt;BB244,1,0)+IF(BE244&gt;BD244,1,0)</f>
        <v>0</v>
      </c>
      <c r="BL244" s="181">
        <f>IF(BJ244+BK244=0,"",IF(BM244=MAX(BM244:BM248),1,IF(BM244=LARGE(BM244:BM248,2),2,IF(BM244=LARGE(BM244:BM248,3),3,IF(BM244=MIN(BM244:BM248),5,4)))))</f>
        <v>1</v>
      </c>
      <c r="BM244" s="182">
        <f>IF(BJ244+BK244&lt;&gt;0,BJ244-BK244+(BH244-BI244)/100+(BF244-BG244)/10000,-4)</f>
        <v>4.0758</v>
      </c>
      <c r="BQ244" s="183"/>
      <c r="BR244" s="183"/>
      <c r="BS244" s="183"/>
    </row>
    <row r="245" spans="1:71" s="12" customFormat="1" ht="11.25" customHeight="1">
      <c r="A245" s="12">
        <f t="shared" si="24"/>
        <v>75</v>
      </c>
      <c r="B245" s="12" t="str">
        <f>IF(N248="","",N248)</f>
        <v>J0001</v>
      </c>
      <c r="C245" s="12">
        <f>IF(N249="","",N249)</f>
      </c>
      <c r="D245" s="12" t="str">
        <f>IF(N251="","",N251)</f>
        <v>S0019</v>
      </c>
      <c r="E245" s="12">
        <f>IF(N252="","",N252)</f>
      </c>
      <c r="M245" s="12" t="str">
        <f>N241</f>
        <v>Open</v>
      </c>
      <c r="N245" s="30" t="s">
        <v>61</v>
      </c>
      <c r="O245" s="23"/>
      <c r="P245" s="23"/>
      <c r="Q245" s="40">
        <f>IF(AN245&gt;0,"",IF(A245=0,"",IF(VLOOKUP(A245,'[1]plan gier'!A:S,19,FALSE)="","",VLOOKUP(A245,'[1]plan gier'!A:S,19,FALSE))))</f>
      </c>
      <c r="R245" s="165" t="s">
        <v>58</v>
      </c>
      <c r="S245" s="42">
        <v>75</v>
      </c>
      <c r="T245" s="260"/>
      <c r="U245" s="271" t="str">
        <f>IF(AND(N245&lt;&gt;"",N246=""),CONCATENATE(VLOOKUP(N245,'[1]zawodnicy'!$A:$E,1,FALSE)," ",VLOOKUP(N245,'[1]zawodnicy'!$A:$E,2,FALSE)," ",VLOOKUP(N245,'[1]zawodnicy'!$A:$E,3,FALSE)," - ",VLOOKUP(N245,'[1]zawodnicy'!$A:$E,4,FALSE)),"")</f>
        <v>S0020 Mariusz SŁOMBA - Mielec</v>
      </c>
      <c r="V245" s="311"/>
      <c r="W245" s="184" t="str">
        <f>IF(SUM(AQ253:AR253)=0,"",AR253&amp;":"&amp;AQ253)</f>
        <v>4:21</v>
      </c>
      <c r="X245" s="339"/>
      <c r="Y245" s="160" t="str">
        <f>IF(SUM(AQ251:AR251)=0,"",AQ251&amp;":"&amp;AR251)</f>
        <v>21:13</v>
      </c>
      <c r="Z245" s="160" t="str">
        <f>IF(SUM(AQ248:AR248)=0,"",AR248&amp;":"&amp;AQ248)</f>
        <v>21:7</v>
      </c>
      <c r="AA245" s="161" t="str">
        <f>IF(SUM(AQ244:AR244)=0,"",AQ244&amp;":"&amp;AR244)</f>
        <v>11:21</v>
      </c>
      <c r="AB245" s="325"/>
      <c r="AC245" s="265"/>
      <c r="AD245" s="265"/>
      <c r="AE245" s="268"/>
      <c r="AF245" s="159"/>
      <c r="AG245" s="169" t="s">
        <v>58</v>
      </c>
      <c r="AH245" s="185">
        <f>IF(ISBLANK(S245),"",VLOOKUP(S245,'[1]plan gier'!$X:$AN,12,FALSE))</f>
        <v>21</v>
      </c>
      <c r="AI245" s="186">
        <f>IF(ISBLANK(S245),"",VLOOKUP(S245,'[1]plan gier'!$X:$AN,13,FALSE))</f>
        <v>14</v>
      </c>
      <c r="AJ245" s="186">
        <f>IF(ISBLANK(S245),"",VLOOKUP(S245,'[1]plan gier'!$X:$AN,14,FALSE))</f>
        <v>21</v>
      </c>
      <c r="AK245" s="186">
        <f>IF(ISBLANK(S245),"",VLOOKUP(S245,'[1]plan gier'!$X:$AN,15,FALSE))</f>
        <v>6</v>
      </c>
      <c r="AL245" s="186">
        <f>IF(ISBLANK(S245),"",VLOOKUP(S245,'[1]plan gier'!$X:$AN,16,FALSE))</f>
        <v>0</v>
      </c>
      <c r="AM245" s="187">
        <f>IF(ISBLANK(S245),"",VLOOKUP(S245,'[1]plan gier'!$X:$AN,17,FALSE))</f>
        <v>0</v>
      </c>
      <c r="AN245" s="173">
        <f t="shared" si="25"/>
        <v>62</v>
      </c>
      <c r="AO245" s="188">
        <f t="shared" si="26"/>
        <v>21</v>
      </c>
      <c r="AP245" s="186">
        <f t="shared" si="26"/>
        <v>14</v>
      </c>
      <c r="AQ245" s="189">
        <f t="shared" si="26"/>
        <v>21</v>
      </c>
      <c r="AR245" s="186">
        <f t="shared" si="26"/>
        <v>6</v>
      </c>
      <c r="AS245" s="189">
        <f t="shared" si="26"/>
        <v>0</v>
      </c>
      <c r="AT245" s="187">
        <f t="shared" si="26"/>
        <v>0</v>
      </c>
      <c r="AU245" s="176">
        <v>2</v>
      </c>
      <c r="AV245" s="185">
        <f>IF(AO253&lt;AP253,1,0)+IF(AQ253&lt;AR253,1,0)+IF(AS253&lt;AT253,1,0)</f>
        <v>0</v>
      </c>
      <c r="AW245" s="186">
        <f>AX244</f>
        <v>2</v>
      </c>
      <c r="AX245" s="190"/>
      <c r="AY245" s="191"/>
      <c r="AZ245" s="186">
        <f>IF(AO251&gt;AP251,1,0)+IF(AQ251&gt;AR251,1,0)+IF(AS251&gt;AT251,1,0)</f>
        <v>2</v>
      </c>
      <c r="BA245" s="186">
        <f>AX246</f>
        <v>0</v>
      </c>
      <c r="BB245" s="192">
        <f>IF(AP248&gt;AO248,1,0)+IF(AR248&gt;AQ248,1,0)+IF(AT248&gt;AS248,1,0)</f>
        <v>2</v>
      </c>
      <c r="BC245" s="193">
        <f>AX247</f>
        <v>0</v>
      </c>
      <c r="BD245" s="186">
        <f>IF(AO244&gt;AP244,1,0)+IF(AQ244&gt;AR244,1,0)+IF(AS244&gt;AT244,1,0)</f>
        <v>0</v>
      </c>
      <c r="BE245" s="187">
        <f>AX248</f>
        <v>2</v>
      </c>
      <c r="BF245" s="185">
        <f>AO244+AQ244+AS244+AP248+AR248+AT248++AO251+AQ251+AS251++AP253+AR253+AT253</f>
        <v>124</v>
      </c>
      <c r="BG245" s="193">
        <f>AP244+AR244+AT244+AO248+AQ248+AS248+AP251+AR251+AT251+AO253+AQ253+AS253</f>
        <v>135</v>
      </c>
      <c r="BH245" s="185">
        <f>AV245+AZ245+BB245+BD245</f>
        <v>4</v>
      </c>
      <c r="BI245" s="187">
        <f>AW245+BA245+BC245+BE245</f>
        <v>4</v>
      </c>
      <c r="BJ245" s="185">
        <f>IF(AV245&gt;AW245,1,0)+IF(AZ245&gt;BA245,1,0)+IF(BB245&gt;BC245,1,0)+IF(BD245&gt;BE245,1,0)</f>
        <v>2</v>
      </c>
      <c r="BK245" s="187">
        <f>IF(AW245&gt;AV245,1,0)+IF(BA245&gt;AZ245,1,0)+IF(BC245&gt;BB245,1,0)+IF(BE245&gt;BD245,1,0)</f>
        <v>2</v>
      </c>
      <c r="BL245" s="194">
        <f>IF(BJ245+BK245=0,"",IF(BM245=MAX(BM244:BM248),1,IF(BM245=LARGE(BM244:BM248,2),2,IF(BM245=LARGE(BM244:BM248,3),3,IF(BM245=MIN(BM244:BM248),5,4)))))</f>
        <v>3</v>
      </c>
      <c r="BM245" s="182">
        <f>IF(BJ245+BK245&lt;&gt;0,BJ245-BK245+(BH245-BI245)/100+(BF245-BG245)/10000,-4)</f>
        <v>-0.0011</v>
      </c>
      <c r="BQ245" s="183"/>
      <c r="BR245" s="183"/>
      <c r="BS245" s="183"/>
    </row>
    <row r="246" spans="1:71" s="12" customFormat="1" ht="11.25" customHeight="1">
      <c r="A246" s="12">
        <f t="shared" si="24"/>
        <v>76</v>
      </c>
      <c r="B246" s="12" t="str">
        <f>IF(N242="","",N242)</f>
        <v>I0002</v>
      </c>
      <c r="C246" s="12">
        <f>IF(N243="","",N243)</f>
      </c>
      <c r="D246" s="12" t="str">
        <f>IF(N248="","",N248)</f>
        <v>J0001</v>
      </c>
      <c r="E246" s="12">
        <f>IF(N249="","",N249)</f>
      </c>
      <c r="J246" s="23"/>
      <c r="K246" s="23"/>
      <c r="M246" s="12" t="str">
        <f>N241</f>
        <v>Open</v>
      </c>
      <c r="N246" s="35"/>
      <c r="O246" s="23"/>
      <c r="P246" s="23"/>
      <c r="Q246" s="40">
        <f>IF(AN246&gt;0,"",IF(A246=0,"",IF(VLOOKUP(A246,'[1]plan gier'!A:S,19,FALSE)="","",VLOOKUP(A246,'[1]plan gier'!A:S,19,FALSE))))</f>
      </c>
      <c r="R246" s="195" t="s">
        <v>15</v>
      </c>
      <c r="S246" s="42">
        <v>76</v>
      </c>
      <c r="T246" s="261"/>
      <c r="U246" s="273">
        <f>IF(N246&lt;&gt;"",CONCATENATE(VLOOKUP(N246,'[1]zawodnicy'!$A:$E,1,FALSE)," ",VLOOKUP(N246,'[1]zawodnicy'!$A:$E,2,FALSE)," ",VLOOKUP(N246,'[1]zawodnicy'!$A:$E,3,FALSE)," - ",VLOOKUP(N246,'[1]zawodnicy'!$A:$E,4,FALSE)),"")</f>
      </c>
      <c r="V246" s="312"/>
      <c r="W246" s="196">
        <f>IF(SUM(AS253:AT253)=0,"",AT253&amp;":"&amp;AS253)</f>
      </c>
      <c r="X246" s="340"/>
      <c r="Y246" s="162">
        <f>IF(SUM(AS251:AT251)=0,"",AS251&amp;":"&amp;AT251)</f>
      </c>
      <c r="Z246" s="162">
        <f>IF(SUM(AS248:AT248)=0,"",AT248&amp;":"&amp;AS248)</f>
      </c>
      <c r="AA246" s="163">
        <f>IF(SUM(AS244:AT244)=0,"",AS244&amp;":"&amp;AT244)</f>
      </c>
      <c r="AB246" s="326"/>
      <c r="AC246" s="266"/>
      <c r="AD246" s="266"/>
      <c r="AE246" s="269"/>
      <c r="AF246" s="159"/>
      <c r="AG246" s="197" t="s">
        <v>15</v>
      </c>
      <c r="AH246" s="185">
        <f>IF(ISBLANK(S246),"",VLOOKUP(S246,'[1]plan gier'!$X:$AN,12,FALSE))</f>
        <v>22</v>
      </c>
      <c r="AI246" s="186">
        <f>IF(ISBLANK(S246),"",VLOOKUP(S246,'[1]plan gier'!$X:$AN,13,FALSE))</f>
        <v>20</v>
      </c>
      <c r="AJ246" s="186">
        <f>IF(ISBLANK(S246),"",VLOOKUP(S246,'[1]plan gier'!$X:$AN,14,FALSE))</f>
        <v>21</v>
      </c>
      <c r="AK246" s="186">
        <f>IF(ISBLANK(S246),"",VLOOKUP(S246,'[1]plan gier'!$X:$AN,15,FALSE))</f>
        <v>13</v>
      </c>
      <c r="AL246" s="186">
        <f>IF(ISBLANK(S246),"",VLOOKUP(S246,'[1]plan gier'!$X:$AN,16,FALSE))</f>
        <v>0</v>
      </c>
      <c r="AM246" s="187">
        <f>IF(ISBLANK(S246),"",VLOOKUP(S246,'[1]plan gier'!$X:$AN,17,FALSE))</f>
        <v>0</v>
      </c>
      <c r="AN246" s="173">
        <f t="shared" si="25"/>
        <v>76</v>
      </c>
      <c r="AO246" s="188">
        <f t="shared" si="26"/>
        <v>22</v>
      </c>
      <c r="AP246" s="186">
        <f t="shared" si="26"/>
        <v>20</v>
      </c>
      <c r="AQ246" s="189">
        <f t="shared" si="26"/>
        <v>21</v>
      </c>
      <c r="AR246" s="186">
        <f t="shared" si="26"/>
        <v>13</v>
      </c>
      <c r="AS246" s="189">
        <f t="shared" si="26"/>
        <v>0</v>
      </c>
      <c r="AT246" s="187">
        <f t="shared" si="26"/>
        <v>0</v>
      </c>
      <c r="AU246" s="176">
        <v>3</v>
      </c>
      <c r="AV246" s="185">
        <f>IF(AO246&lt;AP246,1,0)+IF(AQ246&lt;AR246,1,0)+IF(AS246&lt;AT246,1,0)</f>
        <v>0</v>
      </c>
      <c r="AW246" s="186">
        <f>AZ244</f>
        <v>2</v>
      </c>
      <c r="AX246" s="186">
        <f>IF(AO251&lt;AP251,1,0)+IF(AQ251&lt;AR251,1,0)+IF(AS251&lt;AT251,1,0)</f>
        <v>0</v>
      </c>
      <c r="AY246" s="186">
        <f>AZ245</f>
        <v>2</v>
      </c>
      <c r="AZ246" s="190"/>
      <c r="BA246" s="191"/>
      <c r="BB246" s="186">
        <f>IF(AO245&gt;AP245,1,0)+IF(AQ245&gt;AR245,1,0)+IF(AS245&gt;AT245,1,0)</f>
        <v>2</v>
      </c>
      <c r="BC246" s="193">
        <f>AZ247</f>
        <v>0</v>
      </c>
      <c r="BD246" s="186">
        <f>IF(AP252&gt;AO252,1,0)+IF(AR252&gt;AQ252,1,0)+IF(AT252&gt;AS252,1,0)</f>
        <v>0</v>
      </c>
      <c r="BE246" s="187">
        <f>AZ248</f>
        <v>2</v>
      </c>
      <c r="BF246" s="198">
        <f>AO245+AQ245+AS245+AP246+AR246+AT246+AP251+AR251+AT251+AP252+AR252+AT252</f>
        <v>126</v>
      </c>
      <c r="BG246" s="199">
        <f>AP245+AR245+AT245+AO246+AQ246+AS246+AO251+AQ251+AS251+AO252+AQ252+AS252</f>
        <v>147</v>
      </c>
      <c r="BH246" s="198">
        <f>AV246+AX246+BB246+BD246</f>
        <v>2</v>
      </c>
      <c r="BI246" s="200">
        <f>AW246+AY246+BC246+BE246</f>
        <v>6</v>
      </c>
      <c r="BJ246" s="185">
        <f>IF(AV246&gt;AW246,1,0)+IF(AX246&gt;AY246,1,0)+IF(BB246&gt;BC246,1,0)+IF(BD246&gt;BE246,1,0)</f>
        <v>1</v>
      </c>
      <c r="BK246" s="187">
        <f>IF(AW246&gt;AV246,1,0)+IF(AY246&gt;AX246,1,0)+IF(BC246&gt;BB246,1,0)+IF(BE246&gt;BD246,1,0)</f>
        <v>3</v>
      </c>
      <c r="BL246" s="194">
        <f>IF(BJ246+BK246=0,"",IF(BM246=MAX(BM244:BM248),1,IF(BM246=LARGE(BM244:BM248,2),2,IF(BM246=LARGE(BM244:BM248,3),3,IF(BM246=MIN(BM244:BM248),5,4)))))</f>
        <v>4</v>
      </c>
      <c r="BM246" s="182">
        <f>IF(BJ246+BK246&lt;&gt;0,BJ246-BK246+(BH246-BI246)/100+(BF246-BG246)/10000,-4)</f>
        <v>-2.0421</v>
      </c>
      <c r="BQ246" s="183"/>
      <c r="BR246" s="183"/>
      <c r="BS246" s="183"/>
    </row>
    <row r="247" spans="1:71" s="12" customFormat="1" ht="11.25" customHeight="1" thickBot="1">
      <c r="A247" s="12">
        <f t="shared" si="24"/>
        <v>77</v>
      </c>
      <c r="B247" s="12" t="str">
        <f>IF(N251="","",N251)</f>
        <v>S0019</v>
      </c>
      <c r="C247" s="12">
        <f>IF(N252="","",N252)</f>
      </c>
      <c r="D247" s="12" t="str">
        <f>IF(N254="","",N254)</f>
        <v>B0009</v>
      </c>
      <c r="E247" s="12">
        <f>IF(N255="","",N255)</f>
      </c>
      <c r="J247" s="23"/>
      <c r="K247" s="23"/>
      <c r="M247" s="12" t="str">
        <f>N241</f>
        <v>Open</v>
      </c>
      <c r="N247" s="28"/>
      <c r="O247" s="23"/>
      <c r="P247" s="23"/>
      <c r="Q247" s="40">
        <f>IF(AN247&gt;0,"",IF(A247=0,"",IF(VLOOKUP(A247,'[1]plan gier'!A:S,19,FALSE)="","",VLOOKUP(A247,'[1]plan gier'!A:S,19,FALSE))))</f>
      </c>
      <c r="R247" s="195" t="s">
        <v>70</v>
      </c>
      <c r="S247" s="42">
        <v>77</v>
      </c>
      <c r="T247" s="279">
        <v>3</v>
      </c>
      <c r="U247" s="280">
        <f>IF(AND(N248&lt;&gt;"",N249&lt;&gt;""),CONCATENATE(VLOOKUP(N248,'[1]zawodnicy'!$A:$E,1,FALSE)," ",VLOOKUP(N248,'[1]zawodnicy'!$A:$E,2,FALSE)," ",VLOOKUP(N248,'[1]zawodnicy'!$A:$E,3,FALSE)," - ",VLOOKUP(N248,'[1]zawodnicy'!$A:$E,4,FALSE)),"")</f>
      </c>
      <c r="V247" s="316"/>
      <c r="W247" s="166" t="str">
        <f>IF(SUM(AO246:AP246)=0,"",AP246&amp;":"&amp;AO246)</f>
        <v>20:22</v>
      </c>
      <c r="X247" s="167" t="str">
        <f>IF(SUM(AO251:AP251)=0,"",AP251&amp;":"&amp;AO251)</f>
        <v>18:21</v>
      </c>
      <c r="Y247" s="338"/>
      <c r="Z247" s="167" t="str">
        <f>IF(SUM(AO245:AP245)=0,"",AO245&amp;":"&amp;AP245)</f>
        <v>21:14</v>
      </c>
      <c r="AA247" s="168" t="str">
        <f>IF(SUM(AO252:AP252)=0,"",AP252&amp;":"&amp;AO252)</f>
        <v>12:21</v>
      </c>
      <c r="AB247" s="341" t="str">
        <f>IF(SUM(AV246:AY246,BB246:BE246)=0,"",BF246&amp;":"&amp;BG246)</f>
        <v>126:147</v>
      </c>
      <c r="AC247" s="282" t="str">
        <f>IF(SUM(AV246:AY246,BB246:BE246)=0,"",BH246&amp;":"&amp;BI246)</f>
        <v>2:6</v>
      </c>
      <c r="AD247" s="282" t="str">
        <f>IF(SUM(AV246:AY246,BB246:BE246)=0,"",BJ246&amp;":"&amp;BK246)</f>
        <v>1:3</v>
      </c>
      <c r="AE247" s="283">
        <f>IF(SUM(BJ244:BJ248)&gt;0,BL246,"")</f>
        <v>4</v>
      </c>
      <c r="AF247" s="159"/>
      <c r="AG247" s="197" t="s">
        <v>70</v>
      </c>
      <c r="AH247" s="185">
        <f>IF(ISBLANK(S247),"",VLOOKUP(S247,'[1]plan gier'!$X:$AN,12,FALSE))</f>
        <v>21</v>
      </c>
      <c r="AI247" s="186">
        <f>IF(ISBLANK(S247),"",VLOOKUP(S247,'[1]plan gier'!$X:$AN,13,FALSE))</f>
        <v>15</v>
      </c>
      <c r="AJ247" s="186">
        <f>IF(ISBLANK(S247),"",VLOOKUP(S247,'[1]plan gier'!$X:$AN,14,FALSE))</f>
        <v>14</v>
      </c>
      <c r="AK247" s="186">
        <f>IF(ISBLANK(S247),"",VLOOKUP(S247,'[1]plan gier'!$X:$AN,15,FALSE))</f>
        <v>21</v>
      </c>
      <c r="AL247" s="186">
        <f>IF(ISBLANK(S247),"",VLOOKUP(S247,'[1]plan gier'!$X:$AN,16,FALSE))</f>
        <v>17</v>
      </c>
      <c r="AM247" s="187">
        <f>IF(ISBLANK(S247),"",VLOOKUP(S247,'[1]plan gier'!$X:$AN,17,FALSE))</f>
        <v>21</v>
      </c>
      <c r="AN247" s="173">
        <f t="shared" si="25"/>
        <v>109</v>
      </c>
      <c r="AO247" s="188">
        <f t="shared" si="26"/>
        <v>21</v>
      </c>
      <c r="AP247" s="186">
        <f t="shared" si="26"/>
        <v>15</v>
      </c>
      <c r="AQ247" s="189">
        <f t="shared" si="26"/>
        <v>14</v>
      </c>
      <c r="AR247" s="186">
        <f t="shared" si="26"/>
        <v>21</v>
      </c>
      <c r="AS247" s="189">
        <f t="shared" si="26"/>
        <v>17</v>
      </c>
      <c r="AT247" s="187">
        <f t="shared" si="26"/>
        <v>21</v>
      </c>
      <c r="AU247" s="176">
        <v>4</v>
      </c>
      <c r="AV247" s="185">
        <f>IF(AP250&lt;AO250,1,0)+IF(AR250&lt;AQ250,1,0)+IF(AT250&lt;AS250,1,0)</f>
        <v>0</v>
      </c>
      <c r="AW247" s="186">
        <f>BB244</f>
        <v>2</v>
      </c>
      <c r="AX247" s="186">
        <f>IF(AP248&lt;AO248,1,0)+IF(AR248&lt;AQ248,1,0)+IF(AT248&lt;AS248,1,0)</f>
        <v>0</v>
      </c>
      <c r="AY247" s="186">
        <f>BB245</f>
        <v>2</v>
      </c>
      <c r="AZ247" s="186">
        <f>IF(AO245&lt;AP245,1,0)+IF(AQ245&lt;AR245,1,0)+IF(AS245&lt;AT245,1,0)</f>
        <v>0</v>
      </c>
      <c r="BA247" s="186">
        <f>BB246</f>
        <v>2</v>
      </c>
      <c r="BB247" s="201"/>
      <c r="BC247" s="202"/>
      <c r="BD247" s="186">
        <f>IF(AO247&gt;AP247,1,0)+IF(AQ247&gt;AR247,1,0)+IF(AS247&gt;AT247,1,0)</f>
        <v>1</v>
      </c>
      <c r="BE247" s="187">
        <f>BB248</f>
        <v>2</v>
      </c>
      <c r="BF247" s="185">
        <f>AP245+AR245+AT245++AO247+AQ247+AS247+AO248+AQ248+AS248+AO250+AQ250+AS250</f>
        <v>112</v>
      </c>
      <c r="BG247" s="193">
        <f>AO245+AQ245+AS245+AP247+AR247+AT247+AP248+AR248+AT248+AP250+AR250+AT250</f>
        <v>183</v>
      </c>
      <c r="BH247" s="185">
        <f>AV247+AX247+AZ247+BD247</f>
        <v>1</v>
      </c>
      <c r="BI247" s="187">
        <f>AW247+AY247+BA247+BE247</f>
        <v>8</v>
      </c>
      <c r="BJ247" s="185">
        <f>IF(AV247&gt;AW247,1,0)+IF(AX247&gt;AY247,1,0)+IF(AZ247&gt;BA247,1,0)+IF(BD247&gt;BE247,1,0)</f>
        <v>0</v>
      </c>
      <c r="BK247" s="187">
        <f>IF(AW247&gt;AV247,1,0)+IF(AY247&gt;AX247,1,0)+IF(BA247&gt;AZ247,1,0)+IF(BE247&gt;BD247,1,0)</f>
        <v>4</v>
      </c>
      <c r="BL247" s="194">
        <f>IF(BJ247+BK247=0,"",IF(BM247=MAX(BM244:BM248),1,IF(BM247=LARGE(BM244:BM248,2),2,IF(BM247=LARGE(BM244:BM248,3),3,IF(BM247=MIN(BM244:BM248),5,4)))))</f>
        <v>5</v>
      </c>
      <c r="BM247" s="182">
        <f>IF(BJ247+BK247&lt;&gt;0,BJ247-BK247+(BH247-BI247)/100+(BF247-BG247)/10000,-4)</f>
        <v>-4.077100000000001</v>
      </c>
      <c r="BQ247" s="183"/>
      <c r="BR247" s="183"/>
      <c r="BS247" s="183"/>
    </row>
    <row r="248" spans="1:71" s="12" customFormat="1" ht="11.25" customHeight="1" thickBot="1">
      <c r="A248" s="12">
        <f t="shared" si="24"/>
        <v>78</v>
      </c>
      <c r="B248" s="12" t="str">
        <f>IF(N251="","",N251)</f>
        <v>S0019</v>
      </c>
      <c r="C248" s="12">
        <f>IF(N252="","",N252)</f>
      </c>
      <c r="D248" s="12" t="str">
        <f>IF(N245="","",N245)</f>
        <v>S0020</v>
      </c>
      <c r="E248" s="12">
        <f>IF(N246="","",N246)</f>
      </c>
      <c r="M248" s="12" t="str">
        <f>N241</f>
        <v>Open</v>
      </c>
      <c r="N248" s="30" t="s">
        <v>85</v>
      </c>
      <c r="O248" s="23"/>
      <c r="P248" s="23"/>
      <c r="Q248" s="40">
        <f>IF(AN248&gt;0,"",IF(A248=0,"",IF(VLOOKUP(A248,'[1]plan gier'!A:S,19,FALSE)="","",VLOOKUP(A248,'[1]plan gier'!A:S,19,FALSE))))</f>
      </c>
      <c r="R248" s="195" t="s">
        <v>72</v>
      </c>
      <c r="S248" s="42">
        <v>78</v>
      </c>
      <c r="T248" s="260"/>
      <c r="U248" s="271" t="str">
        <f>IF(AND(N248&lt;&gt;"",N249=""),CONCATENATE(VLOOKUP(N248,'[1]zawodnicy'!$A:$E,1,FALSE)," ",VLOOKUP(N248,'[1]zawodnicy'!$A:$E,2,FALSE)," ",VLOOKUP(N248,'[1]zawodnicy'!$A:$E,3,FALSE)," - ",VLOOKUP(N248,'[1]zawodnicy'!$A:$E,4,FALSE)),"")</f>
        <v>J0001 Mateusz JĘDRZEJKO - Rzeszów</v>
      </c>
      <c r="V248" s="311"/>
      <c r="W248" s="184" t="str">
        <f>IF(SUM(AQ246:AR246)=0,"",AR246&amp;":"&amp;AQ246)</f>
        <v>13:21</v>
      </c>
      <c r="X248" s="160" t="str">
        <f>IF(SUM(AQ251:AR251)=0,"",AR251&amp;":"&amp;AQ251)</f>
        <v>13:21</v>
      </c>
      <c r="Y248" s="339"/>
      <c r="Z248" s="160" t="str">
        <f>IF(SUM(AQ245:AR245)=0,"",AQ245&amp;":"&amp;AR245)</f>
        <v>21:6</v>
      </c>
      <c r="AA248" s="161" t="str">
        <f>IF(SUM(AQ252:AR252)=0,"",AR252&amp;":"&amp;AQ252)</f>
        <v>8:21</v>
      </c>
      <c r="AB248" s="325"/>
      <c r="AC248" s="265"/>
      <c r="AD248" s="265"/>
      <c r="AE248" s="268"/>
      <c r="AF248" s="159"/>
      <c r="AG248" s="197" t="s">
        <v>72</v>
      </c>
      <c r="AH248" s="185">
        <f>IF(ISBLANK(S248),"",VLOOKUP(S248,'[1]plan gier'!$X:$AN,12,FALSE))</f>
        <v>13</v>
      </c>
      <c r="AI248" s="186">
        <f>IF(ISBLANK(S248),"",VLOOKUP(S248,'[1]plan gier'!$X:$AN,13,FALSE))</f>
        <v>21</v>
      </c>
      <c r="AJ248" s="186">
        <f>IF(ISBLANK(S248),"",VLOOKUP(S248,'[1]plan gier'!$X:$AN,14,FALSE))</f>
        <v>7</v>
      </c>
      <c r="AK248" s="186">
        <f>IF(ISBLANK(S248),"",VLOOKUP(S248,'[1]plan gier'!$X:$AN,15,FALSE))</f>
        <v>21</v>
      </c>
      <c r="AL248" s="186">
        <f>IF(ISBLANK(S248),"",VLOOKUP(S248,'[1]plan gier'!$X:$AN,16,FALSE))</f>
        <v>0</v>
      </c>
      <c r="AM248" s="187">
        <f>IF(ISBLANK(S248),"",VLOOKUP(S248,'[1]plan gier'!$X:$AN,17,FALSE))</f>
        <v>0</v>
      </c>
      <c r="AN248" s="173">
        <f t="shared" si="25"/>
        <v>62</v>
      </c>
      <c r="AO248" s="188">
        <f t="shared" si="26"/>
        <v>13</v>
      </c>
      <c r="AP248" s="186">
        <f t="shared" si="26"/>
        <v>21</v>
      </c>
      <c r="AQ248" s="189">
        <f t="shared" si="26"/>
        <v>7</v>
      </c>
      <c r="AR248" s="186">
        <f t="shared" si="26"/>
        <v>21</v>
      </c>
      <c r="AS248" s="189">
        <f t="shared" si="26"/>
        <v>0</v>
      </c>
      <c r="AT248" s="187">
        <f t="shared" si="26"/>
        <v>0</v>
      </c>
      <c r="AU248" s="176">
        <v>5</v>
      </c>
      <c r="AV248" s="203">
        <f>IF(AP249&lt;AO249,1,0)+IF(AR249&lt;AQ249,1,0)+IF(AT249&lt;AS249,1,0)</f>
        <v>1</v>
      </c>
      <c r="AW248" s="204">
        <f>BD244</f>
        <v>2</v>
      </c>
      <c r="AX248" s="204">
        <f>IF(AO244&lt;AP244,1,0)+IF(AQ244&lt;AR244,1,0)+IF(AS244&lt;AT244,1,0)</f>
        <v>2</v>
      </c>
      <c r="AY248" s="204">
        <f>BD245</f>
        <v>0</v>
      </c>
      <c r="AZ248" s="204">
        <f>IF(AP252&lt;AO252,1,0)+IF(AR252&lt;AQ252,1,0)+IF(AT252&lt;AS252,1,0)</f>
        <v>2</v>
      </c>
      <c r="BA248" s="204">
        <f>BD246</f>
        <v>0</v>
      </c>
      <c r="BB248" s="204">
        <f>IF(AO247&lt;AP247,1,0)+IF(AQ247&lt;AR247,1,0)+IF(AS247&lt;AT247,1,0)</f>
        <v>2</v>
      </c>
      <c r="BC248" s="204">
        <f>BD247</f>
        <v>1</v>
      </c>
      <c r="BD248" s="145"/>
      <c r="BE248" s="205"/>
      <c r="BF248" s="206">
        <f>AP244+AR244+AT244+AP247+AR247+AT247+AO249+AQ249+AS249+AO252+AQ252+AS252</f>
        <v>193</v>
      </c>
      <c r="BG248" s="207">
        <f>AO244+AQ244+AS244+AO247+AQ247+AS247+AP249+AR249+AT249+AP252+AR252+AT252</f>
        <v>148</v>
      </c>
      <c r="BH248" s="206">
        <f>AV248+AX248+AZ248+BB248</f>
        <v>7</v>
      </c>
      <c r="BI248" s="208">
        <f>AW248+AY248+BA248+BC248</f>
        <v>3</v>
      </c>
      <c r="BJ248" s="206">
        <f>IF(AV248&gt;AW248,1,0)+IF(AX248&gt;AY248,1,0)+IF(AZ248&gt;BA248,1,0)+IF(BB248&gt;BC248,1,0)</f>
        <v>3</v>
      </c>
      <c r="BK248" s="208">
        <f>IF(AW248&gt;AV248,1,0)+IF(AY248&gt;AX248,1,0)+IF(BA248&gt;AZ248,1,0)+IF(BC248&gt;BB248,1,0)</f>
        <v>1</v>
      </c>
      <c r="BL248" s="209">
        <f>IF(BJ248+BK248=0,"",IF(BM248=MAX(BM244:BM248),1,IF(BM248=LARGE(BM244:BM248,2),2,IF(BM248=LARGE(BM244:BM248,3),3,IF(BM248=MIN(BM244:BM248),5,4)))))</f>
        <v>2</v>
      </c>
      <c r="BM248" s="182">
        <f>IF(BJ248+BK248&lt;&gt;0,BJ248-BK248+(BH248-BI248)/100+(BF248-BG248)/10000,-4)</f>
        <v>2.0445</v>
      </c>
      <c r="BQ248" s="183"/>
      <c r="BR248" s="183"/>
      <c r="BS248" s="183"/>
    </row>
    <row r="249" spans="1:65" s="12" customFormat="1" ht="11.25" customHeight="1">
      <c r="A249" s="12">
        <f t="shared" si="24"/>
        <v>79</v>
      </c>
      <c r="B249" s="12" t="str">
        <f>IF(N254="","",N254)</f>
        <v>B0009</v>
      </c>
      <c r="C249" s="12">
        <f>IF(N255="","",N255)</f>
      </c>
      <c r="D249" s="12" t="str">
        <f>IF(N242="","",N242)</f>
        <v>I0002</v>
      </c>
      <c r="E249" s="12">
        <f>IF(N243="","",N243)</f>
      </c>
      <c r="J249" s="23"/>
      <c r="K249" s="23"/>
      <c r="M249" s="12" t="str">
        <f>N241</f>
        <v>Open</v>
      </c>
      <c r="N249" s="35"/>
      <c r="O249" s="23"/>
      <c r="P249" s="23"/>
      <c r="Q249" s="40">
        <f>IF(AN249&gt;0,"",IF(A249=0,"",IF(VLOOKUP(A249,'[1]plan gier'!A:S,19,FALSE)="","",VLOOKUP(A249,'[1]plan gier'!A:S,19,FALSE))))</f>
      </c>
      <c r="R249" s="195" t="s">
        <v>73</v>
      </c>
      <c r="S249" s="42">
        <v>79</v>
      </c>
      <c r="T249" s="261"/>
      <c r="U249" s="273">
        <f>IF(N249&lt;&gt;"",CONCATENATE(VLOOKUP(N249,'[1]zawodnicy'!$A:$E,1,FALSE)," ",VLOOKUP(N249,'[1]zawodnicy'!$A:$E,2,FALSE)," ",VLOOKUP(N249,'[1]zawodnicy'!$A:$E,3,FALSE)," - ",VLOOKUP(N249,'[1]zawodnicy'!$A:$E,4,FALSE)),"")</f>
      </c>
      <c r="V249" s="312"/>
      <c r="W249" s="196">
        <f>IF(SUM(AS246:AT246)=0,"",AT246&amp;":"&amp;AS246)</f>
      </c>
      <c r="X249" s="162">
        <f>IF(SUM(AS251:AT251)=0,"",AT251&amp;":"&amp;AS251)</f>
      </c>
      <c r="Y249" s="340"/>
      <c r="Z249" s="162">
        <f>IF(SUM(AS245:AT245)=0,"",AS245&amp;":"&amp;AT245)</f>
      </c>
      <c r="AA249" s="163">
        <f>IF(SUM(AS252:AT252)=0,"",AT252&amp;":"&amp;AS252)</f>
      </c>
      <c r="AB249" s="326"/>
      <c r="AC249" s="266"/>
      <c r="AD249" s="266"/>
      <c r="AE249" s="269"/>
      <c r="AF249" s="159"/>
      <c r="AG249" s="197" t="s">
        <v>73</v>
      </c>
      <c r="AH249" s="185">
        <f>IF(ISBLANK(S249),"",VLOOKUP(S249,'[1]plan gier'!$X:$AN,12,FALSE))</f>
        <v>21</v>
      </c>
      <c r="AI249" s="186">
        <f>IF(ISBLANK(S249),"",VLOOKUP(S249,'[1]plan gier'!$X:$AN,13,FALSE))</f>
        <v>14</v>
      </c>
      <c r="AJ249" s="186">
        <f>IF(ISBLANK(S249),"",VLOOKUP(S249,'[1]plan gier'!$X:$AN,14,FALSE))</f>
        <v>12</v>
      </c>
      <c r="AK249" s="186">
        <f>IF(ISBLANK(S249),"",VLOOKUP(S249,'[1]plan gier'!$X:$AN,15,FALSE))</f>
        <v>21</v>
      </c>
      <c r="AL249" s="186">
        <f>IF(ISBLANK(S249),"",VLOOKUP(S249,'[1]plan gier'!$X:$AN,16,FALSE))</f>
        <v>19</v>
      </c>
      <c r="AM249" s="187">
        <f>IF(ISBLANK(S249),"",VLOOKUP(S249,'[1]plan gier'!$X:$AN,17,FALSE))</f>
        <v>21</v>
      </c>
      <c r="AN249" s="173">
        <f t="shared" si="25"/>
        <v>108</v>
      </c>
      <c r="AO249" s="188">
        <f t="shared" si="26"/>
        <v>21</v>
      </c>
      <c r="AP249" s="186">
        <f t="shared" si="26"/>
        <v>14</v>
      </c>
      <c r="AQ249" s="189">
        <f t="shared" si="26"/>
        <v>12</v>
      </c>
      <c r="AR249" s="186">
        <f t="shared" si="26"/>
        <v>21</v>
      </c>
      <c r="AS249" s="189">
        <f t="shared" si="26"/>
        <v>19</v>
      </c>
      <c r="AT249" s="187">
        <f t="shared" si="26"/>
        <v>21</v>
      </c>
      <c r="AU249" s="159"/>
      <c r="AV249" s="210"/>
      <c r="AW249" s="210"/>
      <c r="AX249" s="210"/>
      <c r="AY249" s="210"/>
      <c r="AZ249" s="210"/>
      <c r="BA249" s="210"/>
      <c r="BF249" s="12">
        <f aca="true" t="shared" si="27" ref="BF249:BK249">SUM(BF244:BF248)</f>
        <v>738</v>
      </c>
      <c r="BG249" s="12">
        <f t="shared" si="27"/>
        <v>738</v>
      </c>
      <c r="BH249" s="12">
        <f t="shared" si="27"/>
        <v>22</v>
      </c>
      <c r="BI249" s="12">
        <f t="shared" si="27"/>
        <v>22</v>
      </c>
      <c r="BJ249" s="12">
        <f t="shared" si="27"/>
        <v>10</v>
      </c>
      <c r="BK249" s="12">
        <f t="shared" si="27"/>
        <v>10</v>
      </c>
      <c r="BM249" s="211">
        <f>SUM(BM244:BM248)</f>
        <v>0</v>
      </c>
    </row>
    <row r="250" spans="1:53" s="12" customFormat="1" ht="11.25" customHeight="1">
      <c r="A250" s="12">
        <f t="shared" si="24"/>
        <v>80</v>
      </c>
      <c r="B250" s="12" t="str">
        <f>IF(N251="","",N251)</f>
        <v>S0019</v>
      </c>
      <c r="C250" s="12">
        <f>IF(N252="","",N252)</f>
      </c>
      <c r="D250" s="12" t="str">
        <f>IF(N242="","",N242)</f>
        <v>I0002</v>
      </c>
      <c r="E250" s="12">
        <f>IF(N243="","",N243)</f>
      </c>
      <c r="J250" s="23"/>
      <c r="K250" s="23"/>
      <c r="M250" s="12" t="str">
        <f>N241</f>
        <v>Open</v>
      </c>
      <c r="N250" s="28"/>
      <c r="O250" s="23"/>
      <c r="P250" s="23"/>
      <c r="Q250" s="40">
        <f>IF(AN250&gt;0,"",IF(A250=0,"",IF(VLOOKUP(A250,'[1]plan gier'!A:S,19,FALSE)="","",VLOOKUP(A250,'[1]plan gier'!A:S,19,FALSE))))</f>
      </c>
      <c r="R250" s="195" t="s">
        <v>74</v>
      </c>
      <c r="S250" s="42">
        <v>80</v>
      </c>
      <c r="T250" s="279">
        <v>4</v>
      </c>
      <c r="U250" s="280">
        <f>IF(AND(N251&lt;&gt;"",N252&lt;&gt;""),CONCATENATE(VLOOKUP(N251,'[1]zawodnicy'!$A:$E,1,FALSE)," ",VLOOKUP(N251,'[1]zawodnicy'!$A:$E,2,FALSE)," ",VLOOKUP(N251,'[1]zawodnicy'!$A:$E,3,FALSE)," - ",VLOOKUP(N251,'[1]zawodnicy'!$A:$E,4,FALSE)),"")</f>
      </c>
      <c r="V250" s="316"/>
      <c r="W250" s="166" t="str">
        <f>IF(SUM(AO250:AP250)=0,"",AO250&amp;":"&amp;AP250)</f>
        <v>10:21</v>
      </c>
      <c r="X250" s="167" t="str">
        <f>IF(SUM(AO248:AP248)=0,"",AO248&amp;":"&amp;AP248)</f>
        <v>13:21</v>
      </c>
      <c r="Y250" s="167" t="str">
        <f>IF(SUM(AO245:AP245)=0,"",AP245&amp;":"&amp;AO245)</f>
        <v>14:21</v>
      </c>
      <c r="Z250" s="338"/>
      <c r="AA250" s="168" t="str">
        <f>IF(SUM(AO247:AP247)=0,"",AO247&amp;":"&amp;AP247)</f>
        <v>21:15</v>
      </c>
      <c r="AB250" s="341" t="str">
        <f>IF(SUM(AV247:BA247,BD247:BE247)=0,"",BF247&amp;":"&amp;BG247)</f>
        <v>112:183</v>
      </c>
      <c r="AC250" s="282" t="str">
        <f>IF(SUM(AV247:BA247,BD247:BE247)=0,"",BH247&amp;":"&amp;BI247)</f>
        <v>1:8</v>
      </c>
      <c r="AD250" s="282" t="str">
        <f>IF(SUM(AV247:BA247,BD247:BE247)=0,"",BJ247&amp;":"&amp;BK247)</f>
        <v>0:4</v>
      </c>
      <c r="AE250" s="283">
        <f>IF(SUM(BJ244:BJ248)&gt;0,BL247,"")</f>
        <v>5</v>
      </c>
      <c r="AF250" s="159"/>
      <c r="AG250" s="197" t="s">
        <v>74</v>
      </c>
      <c r="AH250" s="185">
        <f>IF(ISBLANK(S250),"",VLOOKUP(S250,'[1]plan gier'!$X:$AN,12,FALSE))</f>
        <v>10</v>
      </c>
      <c r="AI250" s="186">
        <f>IF(ISBLANK(S250),"",VLOOKUP(S250,'[1]plan gier'!$X:$AN,13,FALSE))</f>
        <v>21</v>
      </c>
      <c r="AJ250" s="186">
        <f>IF(ISBLANK(S250),"",VLOOKUP(S250,'[1]plan gier'!$X:$AN,14,FALSE))</f>
        <v>10</v>
      </c>
      <c r="AK250" s="186">
        <f>IF(ISBLANK(S250),"",VLOOKUP(S250,'[1]plan gier'!$X:$AN,15,FALSE))</f>
        <v>21</v>
      </c>
      <c r="AL250" s="186">
        <f>IF(ISBLANK(S250),"",VLOOKUP(S250,'[1]plan gier'!$X:$AN,16,FALSE))</f>
        <v>0</v>
      </c>
      <c r="AM250" s="187">
        <f>IF(ISBLANK(S250),"",VLOOKUP(S250,'[1]plan gier'!$X:$AN,17,FALSE))</f>
        <v>0</v>
      </c>
      <c r="AN250" s="173">
        <f t="shared" si="25"/>
        <v>62</v>
      </c>
      <c r="AO250" s="188">
        <f t="shared" si="26"/>
        <v>10</v>
      </c>
      <c r="AP250" s="186">
        <f t="shared" si="26"/>
        <v>21</v>
      </c>
      <c r="AQ250" s="189">
        <f t="shared" si="26"/>
        <v>10</v>
      </c>
      <c r="AR250" s="186">
        <f t="shared" si="26"/>
        <v>21</v>
      </c>
      <c r="AS250" s="189">
        <f t="shared" si="26"/>
        <v>0</v>
      </c>
      <c r="AT250" s="187">
        <f t="shared" si="26"/>
        <v>0</v>
      </c>
      <c r="AU250" s="159"/>
      <c r="AV250" s="210"/>
      <c r="AW250" s="210"/>
      <c r="AX250" s="210"/>
      <c r="AY250" s="210"/>
      <c r="AZ250" s="210"/>
      <c r="BA250" s="210"/>
    </row>
    <row r="251" spans="1:53" s="12" customFormat="1" ht="11.25" customHeight="1">
      <c r="A251" s="12">
        <f t="shared" si="24"/>
        <v>81</v>
      </c>
      <c r="B251" s="12" t="str">
        <f>IF(N245="","",N245)</f>
        <v>S0020</v>
      </c>
      <c r="C251" s="12">
        <f>IF(N246="","",N246)</f>
      </c>
      <c r="D251" s="12" t="str">
        <f>IF(N248="","",N248)</f>
        <v>J0001</v>
      </c>
      <c r="E251" s="12">
        <f>IF(N249="","",N249)</f>
      </c>
      <c r="M251" s="12" t="str">
        <f>N241</f>
        <v>Open</v>
      </c>
      <c r="N251" s="30" t="s">
        <v>71</v>
      </c>
      <c r="O251" s="23"/>
      <c r="P251" s="23"/>
      <c r="Q251" s="40">
        <f>IF(AN251&gt;0,"",IF(A251=0,"",IF(VLOOKUP(A251,'[1]plan gier'!A:S,19,FALSE)="","",VLOOKUP(A251,'[1]plan gier'!A:S,19,FALSE))))</f>
      </c>
      <c r="R251" s="195" t="s">
        <v>17</v>
      </c>
      <c r="S251" s="42">
        <v>81</v>
      </c>
      <c r="T251" s="260"/>
      <c r="U251" s="271" t="str">
        <f>IF(AND(N251&lt;&gt;"",N252=""),CONCATENATE(VLOOKUP(N251,'[1]zawodnicy'!$A:$E,1,FALSE)," ",VLOOKUP(N251,'[1]zawodnicy'!$A:$E,2,FALSE)," ",VLOOKUP(N251,'[1]zawodnicy'!$A:$E,3,FALSE)," - ",VLOOKUP(N251,'[1]zawodnicy'!$A:$E,4,FALSE)),"")</f>
        <v>S0019 Katarzyna  SŁOMBA - Mielec</v>
      </c>
      <c r="V251" s="311"/>
      <c r="W251" s="184" t="str">
        <f>IF(SUM(AQ250:AR250)=0,"",AQ250&amp;":"&amp;AR250)</f>
        <v>10:21</v>
      </c>
      <c r="X251" s="160" t="str">
        <f>IF(SUM(AQ248:AR248)=0,"",AQ248&amp;":"&amp;AR248)</f>
        <v>7:21</v>
      </c>
      <c r="Y251" s="160" t="str">
        <f>IF(SUM(AQ245:AR245)=0,"",AR245&amp;":"&amp;AQ245)</f>
        <v>6:21</v>
      </c>
      <c r="Z251" s="339"/>
      <c r="AA251" s="161" t="str">
        <f>IF(SUM(AQ247:AR247)=0,"",AQ247&amp;":"&amp;AR247)</f>
        <v>14:21</v>
      </c>
      <c r="AB251" s="325"/>
      <c r="AC251" s="265"/>
      <c r="AD251" s="265"/>
      <c r="AE251" s="268"/>
      <c r="AF251" s="159"/>
      <c r="AG251" s="197" t="s">
        <v>17</v>
      </c>
      <c r="AH251" s="185">
        <f>IF(ISBLANK(S251),"",VLOOKUP(S251,'[1]plan gier'!$X:$AN,12,FALSE))</f>
        <v>21</v>
      </c>
      <c r="AI251" s="186">
        <f>IF(ISBLANK(S251),"",VLOOKUP(S251,'[1]plan gier'!$X:$AN,13,FALSE))</f>
        <v>18</v>
      </c>
      <c r="AJ251" s="186">
        <f>IF(ISBLANK(S251),"",VLOOKUP(S251,'[1]plan gier'!$X:$AN,14,FALSE))</f>
        <v>21</v>
      </c>
      <c r="AK251" s="186">
        <f>IF(ISBLANK(S251),"",VLOOKUP(S251,'[1]plan gier'!$X:$AN,15,FALSE))</f>
        <v>13</v>
      </c>
      <c r="AL251" s="186">
        <f>IF(ISBLANK(S251),"",VLOOKUP(S251,'[1]plan gier'!$X:$AN,16,FALSE))</f>
        <v>0</v>
      </c>
      <c r="AM251" s="187">
        <f>IF(ISBLANK(S251),"",VLOOKUP(S251,'[1]plan gier'!$X:$AN,17,FALSE))</f>
        <v>0</v>
      </c>
      <c r="AN251" s="173">
        <f t="shared" si="25"/>
        <v>73</v>
      </c>
      <c r="AO251" s="188">
        <f t="shared" si="26"/>
        <v>21</v>
      </c>
      <c r="AP251" s="186">
        <f t="shared" si="26"/>
        <v>18</v>
      </c>
      <c r="AQ251" s="189">
        <f t="shared" si="26"/>
        <v>21</v>
      </c>
      <c r="AR251" s="186">
        <f t="shared" si="26"/>
        <v>13</v>
      </c>
      <c r="AS251" s="189">
        <f t="shared" si="26"/>
        <v>0</v>
      </c>
      <c r="AT251" s="187">
        <f t="shared" si="26"/>
        <v>0</v>
      </c>
      <c r="AU251" s="159"/>
      <c r="AV251" s="210"/>
      <c r="AW251" s="210"/>
      <c r="AX251" s="210"/>
      <c r="AY251" s="210"/>
      <c r="AZ251" s="210"/>
      <c r="BA251" s="210"/>
    </row>
    <row r="252" spans="1:53" s="12" customFormat="1" ht="11.25" customHeight="1">
      <c r="A252" s="12">
        <f t="shared" si="24"/>
        <v>82</v>
      </c>
      <c r="B252" s="12" t="str">
        <f>IF(N254="","",N254)</f>
        <v>B0009</v>
      </c>
      <c r="C252" s="12">
        <f>IF(N255="","",N255)</f>
      </c>
      <c r="D252" s="12" t="str">
        <f>IF(N248="","",N248)</f>
        <v>J0001</v>
      </c>
      <c r="E252" s="12">
        <f>IF(N249="","",N249)</f>
      </c>
      <c r="J252" s="23"/>
      <c r="K252" s="23"/>
      <c r="M252" s="12" t="str">
        <f>N241</f>
        <v>Open</v>
      </c>
      <c r="N252" s="35"/>
      <c r="O252" s="23"/>
      <c r="P252" s="23"/>
      <c r="Q252" s="40">
        <f>IF(AN252&gt;0,"",IF(A252=0,"",IF(VLOOKUP(A252,'[1]plan gier'!A:S,19,FALSE)="","",VLOOKUP(A252,'[1]plan gier'!A:S,19,FALSE))))</f>
      </c>
      <c r="R252" s="195" t="s">
        <v>75</v>
      </c>
      <c r="S252" s="42">
        <v>82</v>
      </c>
      <c r="T252" s="261"/>
      <c r="U252" s="273">
        <f>IF(N252&lt;&gt;"",CONCATENATE(VLOOKUP(N252,'[1]zawodnicy'!$A:$E,1,FALSE)," ",VLOOKUP(N252,'[1]zawodnicy'!$A:$E,2,FALSE)," ",VLOOKUP(N252,'[1]zawodnicy'!$A:$E,3,FALSE)," - ",VLOOKUP(N252,'[1]zawodnicy'!$A:$E,4,FALSE)),"")</f>
      </c>
      <c r="V252" s="312"/>
      <c r="W252" s="196">
        <f>IF(SUM(AS250:AT250)=0,"",AS250&amp;":"&amp;AT250)</f>
      </c>
      <c r="X252" s="162">
        <f>IF(SUM(AS248:AT248)=0,"",AS248&amp;":"&amp;AT248)</f>
      </c>
      <c r="Y252" s="162">
        <f>IF(SUM(AS245:AT245)=0,"",AT245&amp;":"&amp;AS245)</f>
      </c>
      <c r="Z252" s="340"/>
      <c r="AA252" s="163" t="str">
        <f>IF(SUM(AS247:AT247)=0,"",AS247&amp;":"&amp;AT247)</f>
        <v>17:21</v>
      </c>
      <c r="AB252" s="326"/>
      <c r="AC252" s="266"/>
      <c r="AD252" s="266"/>
      <c r="AE252" s="269"/>
      <c r="AF252" s="159"/>
      <c r="AG252" s="197" t="s">
        <v>75</v>
      </c>
      <c r="AH252" s="185">
        <f>IF(ISBLANK(S252),"",VLOOKUP(S252,'[1]plan gier'!$X:$AN,12,FALSE))</f>
        <v>21</v>
      </c>
      <c r="AI252" s="186">
        <f>IF(ISBLANK(S252),"",VLOOKUP(S252,'[1]plan gier'!$X:$AN,13,FALSE))</f>
        <v>12</v>
      </c>
      <c r="AJ252" s="186">
        <f>IF(ISBLANK(S252),"",VLOOKUP(S252,'[1]plan gier'!$X:$AN,14,FALSE))</f>
        <v>21</v>
      </c>
      <c r="AK252" s="186">
        <f>IF(ISBLANK(S252),"",VLOOKUP(S252,'[1]plan gier'!$X:$AN,15,FALSE))</f>
        <v>8</v>
      </c>
      <c r="AL252" s="186">
        <f>IF(ISBLANK(S252),"",VLOOKUP(S252,'[1]plan gier'!$X:$AN,16,FALSE))</f>
        <v>0</v>
      </c>
      <c r="AM252" s="187">
        <f>IF(ISBLANK(S252),"",VLOOKUP(S252,'[1]plan gier'!$X:$AN,17,FALSE))</f>
        <v>0</v>
      </c>
      <c r="AN252" s="173">
        <f t="shared" si="25"/>
        <v>62</v>
      </c>
      <c r="AO252" s="188">
        <f t="shared" si="26"/>
        <v>21</v>
      </c>
      <c r="AP252" s="186">
        <f t="shared" si="26"/>
        <v>12</v>
      </c>
      <c r="AQ252" s="189">
        <f t="shared" si="26"/>
        <v>21</v>
      </c>
      <c r="AR252" s="186">
        <f t="shared" si="26"/>
        <v>8</v>
      </c>
      <c r="AS252" s="189">
        <f t="shared" si="26"/>
        <v>0</v>
      </c>
      <c r="AT252" s="187">
        <f t="shared" si="26"/>
        <v>0</v>
      </c>
      <c r="AU252" s="159"/>
      <c r="AV252" s="210"/>
      <c r="AW252" s="210"/>
      <c r="AX252" s="210"/>
      <c r="AY252" s="210"/>
      <c r="AZ252" s="210"/>
      <c r="BA252" s="210"/>
    </row>
    <row r="253" spans="1:53" s="12" customFormat="1" ht="11.25" customHeight="1" thickBot="1">
      <c r="A253" s="12">
        <f t="shared" si="24"/>
        <v>83</v>
      </c>
      <c r="B253" s="12" t="str">
        <f>IF(N242="","",N242)</f>
        <v>I0002</v>
      </c>
      <c r="C253" s="12">
        <f>IF(N243="","",N243)</f>
      </c>
      <c r="D253" s="12" t="str">
        <f>IF(N245="","",N245)</f>
        <v>S0020</v>
      </c>
      <c r="E253" s="12">
        <f>IF(N246="","",N246)</f>
      </c>
      <c r="J253" s="23"/>
      <c r="K253" s="23"/>
      <c r="M253" s="12" t="str">
        <f>N241</f>
        <v>Open</v>
      </c>
      <c r="O253" s="23"/>
      <c r="P253" s="23"/>
      <c r="Q253" s="40">
        <f>IF(AN253&gt;0,"",IF(A253=0,"",IF(VLOOKUP(A253,'[1]plan gier'!A:S,19,FALSE)="","",VLOOKUP(A253,'[1]plan gier'!A:S,19,FALSE))))</f>
      </c>
      <c r="R253" s="195" t="s">
        <v>18</v>
      </c>
      <c r="S253" s="42">
        <v>83</v>
      </c>
      <c r="T253" s="279">
        <v>5</v>
      </c>
      <c r="U253" s="280">
        <f>IF(AND(N254&lt;&gt;"",N255&lt;&gt;""),CONCATENATE(VLOOKUP(N254,'[1]zawodnicy'!$A:$E,1,FALSE)," ",VLOOKUP(N254,'[1]zawodnicy'!$A:$E,2,FALSE)," ",VLOOKUP(N254,'[1]zawodnicy'!$A:$E,3,FALSE)," - ",VLOOKUP(N254,'[1]zawodnicy'!$A:$E,4,FALSE)),"")</f>
      </c>
      <c r="V253" s="316"/>
      <c r="W253" s="166" t="str">
        <f>IF(SUM(AO249:AP249)=0,"",AO249&amp;":"&amp;AP249)</f>
        <v>21:14</v>
      </c>
      <c r="X253" s="167" t="str">
        <f>IF(SUM(AO244:AP244)=0,"",AP244&amp;":"&amp;AO244)</f>
        <v>21:9</v>
      </c>
      <c r="Y253" s="167" t="str">
        <f>IF(SUM(AO252:AP252)=0,"",AO252&amp;":"&amp;AP252)</f>
        <v>21:12</v>
      </c>
      <c r="Z253" s="167" t="str">
        <f>IF(SUM(AO247:AP247)=0,"",AP247&amp;":"&amp;AO247)</f>
        <v>15:21</v>
      </c>
      <c r="AA253" s="344"/>
      <c r="AB253" s="341" t="str">
        <f>IF(SUM(AV248:BC248)=0,"",BF248&amp;":"&amp;BG248)</f>
        <v>193:148</v>
      </c>
      <c r="AC253" s="282" t="str">
        <f>IF(SUM(AV248:BC248)=0,"",BH248&amp;":"&amp;BI248)</f>
        <v>7:3</v>
      </c>
      <c r="AD253" s="282" t="str">
        <f>IF(SUM(AV248:BC248)=0,"",BJ248&amp;":"&amp;BK248)</f>
        <v>3:1</v>
      </c>
      <c r="AE253" s="283">
        <f>IF(SUM(BJ244:BJ248)&gt;0,BL248,"")</f>
        <v>2</v>
      </c>
      <c r="AF253" s="159"/>
      <c r="AG253" s="197" t="s">
        <v>18</v>
      </c>
      <c r="AH253" s="203">
        <f>IF(ISBLANK(S253),"",VLOOKUP(S253,'[1]plan gier'!$X:$AN,12,FALSE))</f>
        <v>21</v>
      </c>
      <c r="AI253" s="204">
        <f>IF(ISBLANK(S253),"",VLOOKUP(S253,'[1]plan gier'!$X:$AN,13,FALSE))</f>
        <v>16</v>
      </c>
      <c r="AJ253" s="204">
        <f>IF(ISBLANK(S253),"",VLOOKUP(S253,'[1]plan gier'!$X:$AN,14,FALSE))</f>
        <v>21</v>
      </c>
      <c r="AK253" s="204">
        <f>IF(ISBLANK(S253),"",VLOOKUP(S253,'[1]plan gier'!$X:$AN,15,FALSE))</f>
        <v>4</v>
      </c>
      <c r="AL253" s="204">
        <f>IF(ISBLANK(S253),"",VLOOKUP(S253,'[1]plan gier'!$X:$AN,16,FALSE))</f>
        <v>0</v>
      </c>
      <c r="AM253" s="212">
        <f>IF(ISBLANK(S253),"",VLOOKUP(S253,'[1]plan gier'!$X:$AN,17,FALSE))</f>
        <v>0</v>
      </c>
      <c r="AN253" s="173">
        <f t="shared" si="25"/>
        <v>62</v>
      </c>
      <c r="AO253" s="213">
        <f t="shared" si="26"/>
        <v>21</v>
      </c>
      <c r="AP253" s="204">
        <f t="shared" si="26"/>
        <v>16</v>
      </c>
      <c r="AQ253" s="214">
        <f t="shared" si="26"/>
        <v>21</v>
      </c>
      <c r="AR253" s="204">
        <f t="shared" si="26"/>
        <v>4</v>
      </c>
      <c r="AS253" s="214">
        <f t="shared" si="26"/>
        <v>0</v>
      </c>
      <c r="AT253" s="212">
        <f t="shared" si="26"/>
        <v>0</v>
      </c>
      <c r="AU253" s="159"/>
      <c r="AV253" s="210"/>
      <c r="AW253" s="210"/>
      <c r="AX253" s="210"/>
      <c r="AY253" s="210"/>
      <c r="AZ253" s="210"/>
      <c r="BA253" s="210"/>
    </row>
    <row r="254" spans="14:32" s="12" customFormat="1" ht="11.25" customHeight="1">
      <c r="N254" s="30" t="s">
        <v>77</v>
      </c>
      <c r="O254" s="23"/>
      <c r="P254" s="23"/>
      <c r="Q254" s="215"/>
      <c r="R254" s="215"/>
      <c r="S254" s="42"/>
      <c r="T254" s="260"/>
      <c r="U254" s="271" t="str">
        <f>IF(AND(N254&lt;&gt;"",N255=""),CONCATENATE(VLOOKUP(N254,'[1]zawodnicy'!$A:$E,1,FALSE)," ",VLOOKUP(N254,'[1]zawodnicy'!$A:$E,2,FALSE)," ",VLOOKUP(N254,'[1]zawodnicy'!$A:$E,3,FALSE)," - ",VLOOKUP(N254,'[1]zawodnicy'!$A:$E,4,FALSE)),"")</f>
        <v>B0009 Adam BUNIO - Nowa Dęba</v>
      </c>
      <c r="V254" s="311"/>
      <c r="W254" s="184" t="str">
        <f>IF(SUM(AQ249:AR249)=0,"",AQ249&amp;":"&amp;AR249)</f>
        <v>12:21</v>
      </c>
      <c r="X254" s="160" t="str">
        <f>IF(SUM(AQ244:AR244)=0,"",AR244&amp;":"&amp;AQ244)</f>
        <v>21:11</v>
      </c>
      <c r="Y254" s="160" t="str">
        <f>IF(SUM(AQ252:AR252)=0,"",AQ252&amp;":"&amp;AR252)</f>
        <v>21:8</v>
      </c>
      <c r="Z254" s="160" t="str">
        <f>IF(SUM(AQ247:AR247)=0,"",AR247&amp;":"&amp;AQ247)</f>
        <v>21:14</v>
      </c>
      <c r="AA254" s="345"/>
      <c r="AB254" s="325"/>
      <c r="AC254" s="265"/>
      <c r="AD254" s="265"/>
      <c r="AE254" s="268"/>
      <c r="AF254" s="159"/>
    </row>
    <row r="255" spans="10:32" s="12" customFormat="1" ht="11.25" customHeight="1" thickBot="1">
      <c r="J255" s="23"/>
      <c r="K255" s="23"/>
      <c r="L255" s="23"/>
      <c r="N255" s="216"/>
      <c r="O255" s="23"/>
      <c r="P255" s="23"/>
      <c r="T255" s="284"/>
      <c r="U255" s="287">
        <f>IF(N255&lt;&gt;"",CONCATENATE(VLOOKUP(N255,'[1]zawodnicy'!$A:$E,1,FALSE)," ",VLOOKUP(N255,'[1]zawodnicy'!$A:$E,2,FALSE)," ",VLOOKUP(N255,'[1]zawodnicy'!$A:$E,3,FALSE)," - ",VLOOKUP(N255,'[1]zawodnicy'!$A:$E,4,FALSE)),"")</f>
      </c>
      <c r="V255" s="319"/>
      <c r="W255" s="217" t="str">
        <f>IF(SUM(AS249:AT249)=0,"",AS249&amp;":"&amp;AT249)</f>
        <v>19:21</v>
      </c>
      <c r="X255" s="218">
        <f>IF(SUM(AS244:AT244)=0,"",AT244&amp;":"&amp;AS244)</f>
      </c>
      <c r="Y255" s="218">
        <f>IF(SUM(AS252:AT252)=0,"",AS252&amp;":"&amp;AT252)</f>
      </c>
      <c r="Z255" s="218" t="str">
        <f>IF(SUM(AS247:AT247)=0,"",AT247&amp;":"&amp;AS247)</f>
        <v>21:17</v>
      </c>
      <c r="AA255" s="346"/>
      <c r="AB255" s="347"/>
      <c r="AC255" s="285"/>
      <c r="AD255" s="285"/>
      <c r="AE255" s="286"/>
      <c r="AF255" s="159"/>
    </row>
  </sheetData>
  <sheetProtection/>
  <mergeCells count="728">
    <mergeCell ref="T253:T255"/>
    <mergeCell ref="U253:V253"/>
    <mergeCell ref="AA253:AA255"/>
    <mergeCell ref="AB253:AB255"/>
    <mergeCell ref="AC253:AC255"/>
    <mergeCell ref="AD253:AD255"/>
    <mergeCell ref="AE253:AE255"/>
    <mergeCell ref="AD247:AD249"/>
    <mergeCell ref="AE247:AE249"/>
    <mergeCell ref="U248:V248"/>
    <mergeCell ref="U249:V249"/>
    <mergeCell ref="U254:V254"/>
    <mergeCell ref="U255:V255"/>
    <mergeCell ref="AE250:AE252"/>
    <mergeCell ref="U251:V251"/>
    <mergeCell ref="T250:T252"/>
    <mergeCell ref="U250:V250"/>
    <mergeCell ref="Z250:Z252"/>
    <mergeCell ref="AB250:AB252"/>
    <mergeCell ref="AC250:AC252"/>
    <mergeCell ref="AD250:AD252"/>
    <mergeCell ref="U252:V252"/>
    <mergeCell ref="AD244:AD246"/>
    <mergeCell ref="AE244:AE246"/>
    <mergeCell ref="AV244:AW244"/>
    <mergeCell ref="U245:V245"/>
    <mergeCell ref="U246:V246"/>
    <mergeCell ref="T247:T249"/>
    <mergeCell ref="U247:V247"/>
    <mergeCell ref="Y247:Y249"/>
    <mergeCell ref="AB247:AB249"/>
    <mergeCell ref="AC247:AC249"/>
    <mergeCell ref="BB243:BC243"/>
    <mergeCell ref="BD243:BE243"/>
    <mergeCell ref="BF243:BG243"/>
    <mergeCell ref="BH243:BI243"/>
    <mergeCell ref="BJ243:BK243"/>
    <mergeCell ref="T244:T246"/>
    <mergeCell ref="U244:V244"/>
    <mergeCell ref="X244:X246"/>
    <mergeCell ref="AB244:AB246"/>
    <mergeCell ref="AC244:AC246"/>
    <mergeCell ref="AO243:AP243"/>
    <mergeCell ref="AQ243:AR243"/>
    <mergeCell ref="AS243:AT243"/>
    <mergeCell ref="AV243:AW243"/>
    <mergeCell ref="AX243:AY243"/>
    <mergeCell ref="AZ243:BA243"/>
    <mergeCell ref="AE241:AE243"/>
    <mergeCell ref="U242:V242"/>
    <mergeCell ref="U243:V243"/>
    <mergeCell ref="AH243:AI243"/>
    <mergeCell ref="AJ243:AK243"/>
    <mergeCell ref="AL243:AM243"/>
    <mergeCell ref="Q238:AE238"/>
    <mergeCell ref="Q240:R242"/>
    <mergeCell ref="S240:S242"/>
    <mergeCell ref="U240:V240"/>
    <mergeCell ref="T241:T243"/>
    <mergeCell ref="U241:V241"/>
    <mergeCell ref="W241:W243"/>
    <mergeCell ref="AB241:AB243"/>
    <mergeCell ref="AC241:AC243"/>
    <mergeCell ref="AD241:AD243"/>
    <mergeCell ref="S231:V231"/>
    <mergeCell ref="W231:Y231"/>
    <mergeCell ref="Z231:AB231"/>
    <mergeCell ref="S233:T233"/>
    <mergeCell ref="W233:Y233"/>
    <mergeCell ref="S234:T234"/>
    <mergeCell ref="W234:Y234"/>
    <mergeCell ref="S224:V224"/>
    <mergeCell ref="W224:Y224"/>
    <mergeCell ref="Z224:AB224"/>
    <mergeCell ref="S226:T226"/>
    <mergeCell ref="W226:Y226"/>
    <mergeCell ref="S227:T227"/>
    <mergeCell ref="W227:Y227"/>
    <mergeCell ref="T219:T221"/>
    <mergeCell ref="U219:V219"/>
    <mergeCell ref="Z219:Z221"/>
    <mergeCell ref="AA219:AA221"/>
    <mergeCell ref="AB219:AB221"/>
    <mergeCell ref="AC219:AC221"/>
    <mergeCell ref="U220:V220"/>
    <mergeCell ref="U221:V221"/>
    <mergeCell ref="BF215:BG215"/>
    <mergeCell ref="BH215:BI215"/>
    <mergeCell ref="T216:T218"/>
    <mergeCell ref="U216:V216"/>
    <mergeCell ref="Z216:Z218"/>
    <mergeCell ref="AA216:AA218"/>
    <mergeCell ref="AB216:AB218"/>
    <mergeCell ref="AC216:AC218"/>
    <mergeCell ref="U217:V217"/>
    <mergeCell ref="U218:V218"/>
    <mergeCell ref="AP215:AQ215"/>
    <mergeCell ref="AR215:AS215"/>
    <mergeCell ref="AV215:AW215"/>
    <mergeCell ref="AX215:AY215"/>
    <mergeCell ref="AZ215:BA215"/>
    <mergeCell ref="BD215:BE215"/>
    <mergeCell ref="Z213:Z215"/>
    <mergeCell ref="AA213:AA215"/>
    <mergeCell ref="AB213:AB215"/>
    <mergeCell ref="AC213:AC215"/>
    <mergeCell ref="AH213:AM213"/>
    <mergeCell ref="AN213:AS213"/>
    <mergeCell ref="AH215:AI215"/>
    <mergeCell ref="AJ215:AK215"/>
    <mergeCell ref="AL215:AM215"/>
    <mergeCell ref="AN215:AO215"/>
    <mergeCell ref="U210:V210"/>
    <mergeCell ref="Q212:S212"/>
    <mergeCell ref="U212:V212"/>
    <mergeCell ref="Q213:R215"/>
    <mergeCell ref="S213:S215"/>
    <mergeCell ref="T213:T215"/>
    <mergeCell ref="U213:V213"/>
    <mergeCell ref="U214:V214"/>
    <mergeCell ref="U215:V215"/>
    <mergeCell ref="AD205:AD207"/>
    <mergeCell ref="U206:V206"/>
    <mergeCell ref="U207:V207"/>
    <mergeCell ref="T208:T210"/>
    <mergeCell ref="U208:V208"/>
    <mergeCell ref="AA208:AA210"/>
    <mergeCell ref="AB208:AB210"/>
    <mergeCell ref="AC208:AC210"/>
    <mergeCell ref="AD208:AD210"/>
    <mergeCell ref="U209:V209"/>
    <mergeCell ref="U204:V204"/>
    <mergeCell ref="T205:T207"/>
    <mergeCell ref="U205:V205"/>
    <mergeCell ref="AA205:AA207"/>
    <mergeCell ref="AB205:AB207"/>
    <mergeCell ref="AC205:AC207"/>
    <mergeCell ref="BF201:BG201"/>
    <mergeCell ref="BH201:BI201"/>
    <mergeCell ref="T202:T204"/>
    <mergeCell ref="U202:V202"/>
    <mergeCell ref="AA202:AA204"/>
    <mergeCell ref="AB202:AB204"/>
    <mergeCell ref="AC202:AC204"/>
    <mergeCell ref="AD202:AD204"/>
    <mergeCell ref="AV202:AW202"/>
    <mergeCell ref="U203:V203"/>
    <mergeCell ref="AR201:AS201"/>
    <mergeCell ref="AV201:AW201"/>
    <mergeCell ref="AX201:AY201"/>
    <mergeCell ref="AZ201:BA201"/>
    <mergeCell ref="BB201:BC201"/>
    <mergeCell ref="BD201:BE201"/>
    <mergeCell ref="U201:V201"/>
    <mergeCell ref="AH201:AI201"/>
    <mergeCell ref="AJ201:AK201"/>
    <mergeCell ref="AL201:AM201"/>
    <mergeCell ref="AN201:AO201"/>
    <mergeCell ref="AP201:AQ201"/>
    <mergeCell ref="AN198:AS198"/>
    <mergeCell ref="Q199:R201"/>
    <mergeCell ref="S199:S201"/>
    <mergeCell ref="T199:T201"/>
    <mergeCell ref="U199:V199"/>
    <mergeCell ref="AA199:AA201"/>
    <mergeCell ref="AB199:AB201"/>
    <mergeCell ref="AC199:AC201"/>
    <mergeCell ref="AD199:AD201"/>
    <mergeCell ref="U200:V200"/>
    <mergeCell ref="U193:V193"/>
    <mergeCell ref="U194:V194"/>
    <mergeCell ref="Q196:AE196"/>
    <mergeCell ref="Q198:S198"/>
    <mergeCell ref="U198:V198"/>
    <mergeCell ref="AH198:AM198"/>
    <mergeCell ref="AE189:AE191"/>
    <mergeCell ref="U190:V190"/>
    <mergeCell ref="U191:V191"/>
    <mergeCell ref="T192:T194"/>
    <mergeCell ref="U192:V192"/>
    <mergeCell ref="AA192:AA194"/>
    <mergeCell ref="AB192:AB194"/>
    <mergeCell ref="AC192:AC194"/>
    <mergeCell ref="AD192:AD194"/>
    <mergeCell ref="AE192:AE194"/>
    <mergeCell ref="AD186:AD188"/>
    <mergeCell ref="AE186:AE188"/>
    <mergeCell ref="U187:V187"/>
    <mergeCell ref="U188:V188"/>
    <mergeCell ref="T189:T191"/>
    <mergeCell ref="U189:V189"/>
    <mergeCell ref="Z189:Z191"/>
    <mergeCell ref="AB189:AB191"/>
    <mergeCell ref="AC189:AC191"/>
    <mergeCell ref="AD189:AD191"/>
    <mergeCell ref="AD183:AD185"/>
    <mergeCell ref="AE183:AE185"/>
    <mergeCell ref="AV183:AW183"/>
    <mergeCell ref="U184:V184"/>
    <mergeCell ref="U185:V185"/>
    <mergeCell ref="T186:T188"/>
    <mergeCell ref="U186:V186"/>
    <mergeCell ref="Y186:Y188"/>
    <mergeCell ref="AB186:AB188"/>
    <mergeCell ref="AC186:AC188"/>
    <mergeCell ref="BB182:BC182"/>
    <mergeCell ref="BD182:BE182"/>
    <mergeCell ref="BF182:BG182"/>
    <mergeCell ref="BH182:BI182"/>
    <mergeCell ref="BJ182:BK182"/>
    <mergeCell ref="T183:T185"/>
    <mergeCell ref="U183:V183"/>
    <mergeCell ref="X183:X185"/>
    <mergeCell ref="AB183:AB185"/>
    <mergeCell ref="AC183:AC185"/>
    <mergeCell ref="AO182:AP182"/>
    <mergeCell ref="AQ182:AR182"/>
    <mergeCell ref="AS182:AT182"/>
    <mergeCell ref="AV182:AW182"/>
    <mergeCell ref="AX182:AY182"/>
    <mergeCell ref="AZ182:BA182"/>
    <mergeCell ref="AE180:AE182"/>
    <mergeCell ref="U181:V181"/>
    <mergeCell ref="U182:V182"/>
    <mergeCell ref="AH182:AI182"/>
    <mergeCell ref="AJ182:AK182"/>
    <mergeCell ref="AL182:AM182"/>
    <mergeCell ref="Q177:AE177"/>
    <mergeCell ref="Q179:R181"/>
    <mergeCell ref="S179:S181"/>
    <mergeCell ref="U179:V179"/>
    <mergeCell ref="T180:T182"/>
    <mergeCell ref="U180:V180"/>
    <mergeCell ref="W180:W182"/>
    <mergeCell ref="AB180:AB182"/>
    <mergeCell ref="AC180:AC182"/>
    <mergeCell ref="AD180:AD182"/>
    <mergeCell ref="S172:V172"/>
    <mergeCell ref="W172:Y172"/>
    <mergeCell ref="Z172:AB172"/>
    <mergeCell ref="S174:T174"/>
    <mergeCell ref="W174:Y174"/>
    <mergeCell ref="S175:T175"/>
    <mergeCell ref="W175:Y175"/>
    <mergeCell ref="Z166:AB166"/>
    <mergeCell ref="Z167:AB167"/>
    <mergeCell ref="Q168:R169"/>
    <mergeCell ref="S168:T169"/>
    <mergeCell ref="U168:V169"/>
    <mergeCell ref="W168:Y168"/>
    <mergeCell ref="W169:Y169"/>
    <mergeCell ref="AC162:AE162"/>
    <mergeCell ref="AC163:AE163"/>
    <mergeCell ref="S164:T164"/>
    <mergeCell ref="W164:Y164"/>
    <mergeCell ref="S165:T165"/>
    <mergeCell ref="W165:Y165"/>
    <mergeCell ref="Z158:AB158"/>
    <mergeCell ref="Z159:AB159"/>
    <mergeCell ref="S160:T160"/>
    <mergeCell ref="W160:Y160"/>
    <mergeCell ref="S161:T161"/>
    <mergeCell ref="W161:Y161"/>
    <mergeCell ref="U151:V151"/>
    <mergeCell ref="Q156:R157"/>
    <mergeCell ref="S156:T157"/>
    <mergeCell ref="U156:V157"/>
    <mergeCell ref="W156:Y156"/>
    <mergeCell ref="W157:Y157"/>
    <mergeCell ref="AD146:AD148"/>
    <mergeCell ref="U147:V147"/>
    <mergeCell ref="U148:V148"/>
    <mergeCell ref="T149:T151"/>
    <mergeCell ref="U149:V149"/>
    <mergeCell ref="AA149:AA151"/>
    <mergeCell ref="AB149:AB151"/>
    <mergeCell ref="AC149:AC151"/>
    <mergeCell ref="AD149:AD151"/>
    <mergeCell ref="U150:V150"/>
    <mergeCell ref="U145:V145"/>
    <mergeCell ref="T146:T148"/>
    <mergeCell ref="U146:V146"/>
    <mergeCell ref="AA146:AA148"/>
    <mergeCell ref="AB146:AB148"/>
    <mergeCell ref="AC146:AC148"/>
    <mergeCell ref="BF142:BG142"/>
    <mergeCell ref="BH142:BI142"/>
    <mergeCell ref="T143:T145"/>
    <mergeCell ref="U143:V143"/>
    <mergeCell ref="AA143:AA145"/>
    <mergeCell ref="AB143:AB145"/>
    <mergeCell ref="AC143:AC145"/>
    <mergeCell ref="AD143:AD145"/>
    <mergeCell ref="AV143:AW143"/>
    <mergeCell ref="U144:V144"/>
    <mergeCell ref="AR142:AS142"/>
    <mergeCell ref="AV142:AW142"/>
    <mergeCell ref="AX142:AY142"/>
    <mergeCell ref="AZ142:BA142"/>
    <mergeCell ref="BB142:BC142"/>
    <mergeCell ref="BD142:BE142"/>
    <mergeCell ref="U142:V142"/>
    <mergeCell ref="AH142:AI142"/>
    <mergeCell ref="AJ142:AK142"/>
    <mergeCell ref="AL142:AM142"/>
    <mergeCell ref="AN142:AO142"/>
    <mergeCell ref="AP142:AQ142"/>
    <mergeCell ref="AN139:AS139"/>
    <mergeCell ref="Q140:R142"/>
    <mergeCell ref="S140:S142"/>
    <mergeCell ref="T140:T142"/>
    <mergeCell ref="U140:V140"/>
    <mergeCell ref="AA140:AA142"/>
    <mergeCell ref="AB140:AB142"/>
    <mergeCell ref="AC140:AC142"/>
    <mergeCell ref="AD140:AD142"/>
    <mergeCell ref="U141:V141"/>
    <mergeCell ref="AC135:AC137"/>
    <mergeCell ref="U136:V136"/>
    <mergeCell ref="U137:V137"/>
    <mergeCell ref="Q139:S139"/>
    <mergeCell ref="U139:V139"/>
    <mergeCell ref="AH139:AM139"/>
    <mergeCell ref="U134:V134"/>
    <mergeCell ref="T135:T137"/>
    <mergeCell ref="U135:V135"/>
    <mergeCell ref="Z135:Z137"/>
    <mergeCell ref="AA135:AA137"/>
    <mergeCell ref="AB135:AB137"/>
    <mergeCell ref="BD131:BE131"/>
    <mergeCell ref="BF131:BG131"/>
    <mergeCell ref="BH131:BI131"/>
    <mergeCell ref="T132:T134"/>
    <mergeCell ref="U132:V132"/>
    <mergeCell ref="Z132:Z134"/>
    <mergeCell ref="AA132:AA134"/>
    <mergeCell ref="AB132:AB134"/>
    <mergeCell ref="AC132:AC134"/>
    <mergeCell ref="U133:V133"/>
    <mergeCell ref="AN131:AO131"/>
    <mergeCell ref="AP131:AQ131"/>
    <mergeCell ref="AR131:AS131"/>
    <mergeCell ref="AV131:AW131"/>
    <mergeCell ref="AX131:AY131"/>
    <mergeCell ref="AZ131:BA131"/>
    <mergeCell ref="AA129:AA131"/>
    <mergeCell ref="AB129:AB131"/>
    <mergeCell ref="AC129:AC131"/>
    <mergeCell ref="AH129:AM129"/>
    <mergeCell ref="AN129:AS129"/>
    <mergeCell ref="U130:V130"/>
    <mergeCell ref="U131:V131"/>
    <mergeCell ref="AH131:AI131"/>
    <mergeCell ref="AJ131:AK131"/>
    <mergeCell ref="AL131:AM131"/>
    <mergeCell ref="AD124:AD126"/>
    <mergeCell ref="U125:V125"/>
    <mergeCell ref="U126:V126"/>
    <mergeCell ref="Q128:S128"/>
    <mergeCell ref="U128:V128"/>
    <mergeCell ref="Q129:R131"/>
    <mergeCell ref="S129:S131"/>
    <mergeCell ref="T129:T131"/>
    <mergeCell ref="U129:V129"/>
    <mergeCell ref="Z129:Z131"/>
    <mergeCell ref="U123:V123"/>
    <mergeCell ref="T124:T126"/>
    <mergeCell ref="U124:V124"/>
    <mergeCell ref="AA124:AA126"/>
    <mergeCell ref="AB124:AB126"/>
    <mergeCell ref="AC124:AC126"/>
    <mergeCell ref="AV118:AW118"/>
    <mergeCell ref="U119:V119"/>
    <mergeCell ref="U120:V120"/>
    <mergeCell ref="T121:T123"/>
    <mergeCell ref="U121:V121"/>
    <mergeCell ref="AA121:AA123"/>
    <mergeCell ref="AB121:AB123"/>
    <mergeCell ref="AC121:AC123"/>
    <mergeCell ref="AD121:AD123"/>
    <mergeCell ref="U122:V122"/>
    <mergeCell ref="T118:T120"/>
    <mergeCell ref="U118:V118"/>
    <mergeCell ref="AA118:AA120"/>
    <mergeCell ref="AB118:AB120"/>
    <mergeCell ref="AC118:AC120"/>
    <mergeCell ref="AD118:AD120"/>
    <mergeCell ref="AX117:AY117"/>
    <mergeCell ref="AZ117:BA117"/>
    <mergeCell ref="BB117:BC117"/>
    <mergeCell ref="BD117:BE117"/>
    <mergeCell ref="BF117:BG117"/>
    <mergeCell ref="BH117:BI117"/>
    <mergeCell ref="AJ117:AK117"/>
    <mergeCell ref="AL117:AM117"/>
    <mergeCell ref="AN117:AO117"/>
    <mergeCell ref="AP117:AQ117"/>
    <mergeCell ref="AR117:AS117"/>
    <mergeCell ref="AV117:AW117"/>
    <mergeCell ref="AB115:AB117"/>
    <mergeCell ref="AC115:AC117"/>
    <mergeCell ref="AD115:AD117"/>
    <mergeCell ref="U116:V116"/>
    <mergeCell ref="U117:V117"/>
    <mergeCell ref="AH117:AI117"/>
    <mergeCell ref="Q112:AE112"/>
    <mergeCell ref="Q114:S114"/>
    <mergeCell ref="U114:V114"/>
    <mergeCell ref="AH114:AM114"/>
    <mergeCell ref="AN114:AS114"/>
    <mergeCell ref="Q115:R117"/>
    <mergeCell ref="S115:S117"/>
    <mergeCell ref="T115:T117"/>
    <mergeCell ref="U115:V115"/>
    <mergeCell ref="AA115:AA117"/>
    <mergeCell ref="S106:V106"/>
    <mergeCell ref="W106:Y106"/>
    <mergeCell ref="Z106:AB106"/>
    <mergeCell ref="S108:T108"/>
    <mergeCell ref="W108:Y108"/>
    <mergeCell ref="S109:T109"/>
    <mergeCell ref="W109:Y109"/>
    <mergeCell ref="Z100:AB100"/>
    <mergeCell ref="Z101:AB101"/>
    <mergeCell ref="Q102:R103"/>
    <mergeCell ref="S102:T103"/>
    <mergeCell ref="U102:V103"/>
    <mergeCell ref="W102:Y102"/>
    <mergeCell ref="W103:Y103"/>
    <mergeCell ref="AC96:AE96"/>
    <mergeCell ref="AC97:AE97"/>
    <mergeCell ref="S98:T98"/>
    <mergeCell ref="W98:Y98"/>
    <mergeCell ref="S99:T99"/>
    <mergeCell ref="W99:Y99"/>
    <mergeCell ref="Z92:AB92"/>
    <mergeCell ref="Z93:AB93"/>
    <mergeCell ref="Q94:R95"/>
    <mergeCell ref="S94:T95"/>
    <mergeCell ref="U94:V95"/>
    <mergeCell ref="W94:Y94"/>
    <mergeCell ref="W95:Y95"/>
    <mergeCell ref="AC88:AE88"/>
    <mergeCell ref="AC89:AE89"/>
    <mergeCell ref="S90:T90"/>
    <mergeCell ref="W90:Y90"/>
    <mergeCell ref="S91:T91"/>
    <mergeCell ref="W91:Y91"/>
    <mergeCell ref="Z84:AB84"/>
    <mergeCell ref="Z85:AB85"/>
    <mergeCell ref="S86:T86"/>
    <mergeCell ref="W86:Y86"/>
    <mergeCell ref="AC86:AE86"/>
    <mergeCell ref="S87:T87"/>
    <mergeCell ref="W87:Y87"/>
    <mergeCell ref="AC80:AE80"/>
    <mergeCell ref="AC81:AE81"/>
    <mergeCell ref="Q82:R83"/>
    <mergeCell ref="S82:T83"/>
    <mergeCell ref="U82:V83"/>
    <mergeCell ref="W82:Y82"/>
    <mergeCell ref="W83:Y83"/>
    <mergeCell ref="Z76:AB76"/>
    <mergeCell ref="Z77:AB77"/>
    <mergeCell ref="S78:T78"/>
    <mergeCell ref="W78:Y78"/>
    <mergeCell ref="S79:T79"/>
    <mergeCell ref="W79:Y79"/>
    <mergeCell ref="AC68:AC70"/>
    <mergeCell ref="U69:V69"/>
    <mergeCell ref="U70:V70"/>
    <mergeCell ref="Q74:R75"/>
    <mergeCell ref="S74:T75"/>
    <mergeCell ref="U74:V75"/>
    <mergeCell ref="W74:Y74"/>
    <mergeCell ref="W75:Y75"/>
    <mergeCell ref="U67:V67"/>
    <mergeCell ref="T68:T70"/>
    <mergeCell ref="U68:V68"/>
    <mergeCell ref="Z68:Z70"/>
    <mergeCell ref="AA68:AA70"/>
    <mergeCell ref="AB68:AB70"/>
    <mergeCell ref="BD64:BE64"/>
    <mergeCell ref="BF64:BG64"/>
    <mergeCell ref="BH64:BI64"/>
    <mergeCell ref="T65:T67"/>
    <mergeCell ref="U65:V65"/>
    <mergeCell ref="Z65:Z67"/>
    <mergeCell ref="AA65:AA67"/>
    <mergeCell ref="AB65:AB67"/>
    <mergeCell ref="AC65:AC67"/>
    <mergeCell ref="U66:V66"/>
    <mergeCell ref="AN64:AO64"/>
    <mergeCell ref="AP64:AQ64"/>
    <mergeCell ref="AR64:AS64"/>
    <mergeCell ref="AV64:AW64"/>
    <mergeCell ref="AX64:AY64"/>
    <mergeCell ref="AZ64:BA64"/>
    <mergeCell ref="AA62:AA64"/>
    <mergeCell ref="AB62:AB64"/>
    <mergeCell ref="AC62:AC64"/>
    <mergeCell ref="AH62:AM62"/>
    <mergeCell ref="AN62:AS62"/>
    <mergeCell ref="U63:V63"/>
    <mergeCell ref="U64:V64"/>
    <mergeCell ref="AH64:AI64"/>
    <mergeCell ref="AJ64:AK64"/>
    <mergeCell ref="AL64:AM64"/>
    <mergeCell ref="AC57:AC59"/>
    <mergeCell ref="U58:V58"/>
    <mergeCell ref="U59:V59"/>
    <mergeCell ref="Q61:S61"/>
    <mergeCell ref="U61:V61"/>
    <mergeCell ref="Q62:R64"/>
    <mergeCell ref="S62:S64"/>
    <mergeCell ref="T62:T64"/>
    <mergeCell ref="U62:V62"/>
    <mergeCell ref="Z62:Z64"/>
    <mergeCell ref="U56:V56"/>
    <mergeCell ref="T57:T59"/>
    <mergeCell ref="U57:V57"/>
    <mergeCell ref="Z57:Z59"/>
    <mergeCell ref="AA57:AA59"/>
    <mergeCell ref="AB57:AB59"/>
    <mergeCell ref="BD53:BE53"/>
    <mergeCell ref="BF53:BG53"/>
    <mergeCell ref="BH53:BI53"/>
    <mergeCell ref="T54:T56"/>
    <mergeCell ref="U54:V54"/>
    <mergeCell ref="Z54:Z56"/>
    <mergeCell ref="AA54:AA56"/>
    <mergeCell ref="AB54:AB56"/>
    <mergeCell ref="AC54:AC56"/>
    <mergeCell ref="U55:V55"/>
    <mergeCell ref="AN53:AO53"/>
    <mergeCell ref="AP53:AQ53"/>
    <mergeCell ref="AR53:AS53"/>
    <mergeCell ref="AV53:AW53"/>
    <mergeCell ref="AX53:AY53"/>
    <mergeCell ref="AZ53:BA53"/>
    <mergeCell ref="AA51:AA53"/>
    <mergeCell ref="AB51:AB53"/>
    <mergeCell ref="AC51:AC53"/>
    <mergeCell ref="AH51:AM51"/>
    <mergeCell ref="AN51:AS51"/>
    <mergeCell ref="U52:V52"/>
    <mergeCell ref="U53:V53"/>
    <mergeCell ref="AH53:AI53"/>
    <mergeCell ref="AJ53:AK53"/>
    <mergeCell ref="AL53:AM53"/>
    <mergeCell ref="AC46:AC48"/>
    <mergeCell ref="U47:V47"/>
    <mergeCell ref="U48:V48"/>
    <mergeCell ref="Q50:S50"/>
    <mergeCell ref="U50:V50"/>
    <mergeCell ref="Q51:R53"/>
    <mergeCell ref="S51:S53"/>
    <mergeCell ref="T51:T53"/>
    <mergeCell ref="U51:V51"/>
    <mergeCell ref="Z51:Z53"/>
    <mergeCell ref="U45:V45"/>
    <mergeCell ref="T46:T48"/>
    <mergeCell ref="U46:V46"/>
    <mergeCell ref="Z46:Z48"/>
    <mergeCell ref="AA46:AA48"/>
    <mergeCell ref="AB46:AB48"/>
    <mergeCell ref="BD42:BE42"/>
    <mergeCell ref="BF42:BG42"/>
    <mergeCell ref="BH42:BI42"/>
    <mergeCell ref="T43:T45"/>
    <mergeCell ref="U43:V43"/>
    <mergeCell ref="Z43:Z45"/>
    <mergeCell ref="AA43:AA45"/>
    <mergeCell ref="AB43:AB45"/>
    <mergeCell ref="AC43:AC45"/>
    <mergeCell ref="U44:V44"/>
    <mergeCell ref="AN42:AO42"/>
    <mergeCell ref="AP42:AQ42"/>
    <mergeCell ref="AR42:AS42"/>
    <mergeCell ref="AV42:AW42"/>
    <mergeCell ref="AX42:AY42"/>
    <mergeCell ref="AZ42:BA42"/>
    <mergeCell ref="AA40:AA42"/>
    <mergeCell ref="AB40:AB42"/>
    <mergeCell ref="AC40:AC42"/>
    <mergeCell ref="AH40:AM40"/>
    <mergeCell ref="AN40:AS40"/>
    <mergeCell ref="U41:V41"/>
    <mergeCell ref="U42:V42"/>
    <mergeCell ref="AH42:AI42"/>
    <mergeCell ref="AJ42:AK42"/>
    <mergeCell ref="AL42:AM42"/>
    <mergeCell ref="AC35:AC37"/>
    <mergeCell ref="U36:V36"/>
    <mergeCell ref="U37:V37"/>
    <mergeCell ref="Q39:S39"/>
    <mergeCell ref="U39:V39"/>
    <mergeCell ref="Q40:R42"/>
    <mergeCell ref="S40:S42"/>
    <mergeCell ref="T40:T42"/>
    <mergeCell ref="U40:V40"/>
    <mergeCell ref="Z40:Z42"/>
    <mergeCell ref="U34:V34"/>
    <mergeCell ref="T35:T37"/>
    <mergeCell ref="U35:V35"/>
    <mergeCell ref="Z35:Z37"/>
    <mergeCell ref="AA35:AA37"/>
    <mergeCell ref="AB35:AB37"/>
    <mergeCell ref="BD31:BE31"/>
    <mergeCell ref="BF31:BG31"/>
    <mergeCell ref="BH31:BI31"/>
    <mergeCell ref="T32:T34"/>
    <mergeCell ref="U32:V32"/>
    <mergeCell ref="Z32:Z34"/>
    <mergeCell ref="AA32:AA34"/>
    <mergeCell ref="AB32:AB34"/>
    <mergeCell ref="AC32:AC34"/>
    <mergeCell ref="U33:V33"/>
    <mergeCell ref="AN31:AO31"/>
    <mergeCell ref="AP31:AQ31"/>
    <mergeCell ref="AR31:AS31"/>
    <mergeCell ref="AV31:AW31"/>
    <mergeCell ref="AX31:AY31"/>
    <mergeCell ref="AZ31:BA31"/>
    <mergeCell ref="AA29:AA31"/>
    <mergeCell ref="AB29:AB31"/>
    <mergeCell ref="AC29:AC31"/>
    <mergeCell ref="AH29:AM29"/>
    <mergeCell ref="AN29:AS29"/>
    <mergeCell ref="U30:V30"/>
    <mergeCell ref="U31:V31"/>
    <mergeCell ref="AH31:AI31"/>
    <mergeCell ref="AJ31:AK31"/>
    <mergeCell ref="AL31:AM31"/>
    <mergeCell ref="AC24:AC26"/>
    <mergeCell ref="U25:V25"/>
    <mergeCell ref="U26:V26"/>
    <mergeCell ref="Q28:S28"/>
    <mergeCell ref="U28:V28"/>
    <mergeCell ref="Q29:R31"/>
    <mergeCell ref="S29:S31"/>
    <mergeCell ref="T29:T31"/>
    <mergeCell ref="U29:V29"/>
    <mergeCell ref="Z29:Z31"/>
    <mergeCell ref="U23:V23"/>
    <mergeCell ref="T24:T26"/>
    <mergeCell ref="U24:V24"/>
    <mergeCell ref="Z24:Z26"/>
    <mergeCell ref="AA24:AA26"/>
    <mergeCell ref="AB24:AB26"/>
    <mergeCell ref="BD20:BE20"/>
    <mergeCell ref="BF20:BG20"/>
    <mergeCell ref="BH20:BI20"/>
    <mergeCell ref="T21:T23"/>
    <mergeCell ref="U21:V21"/>
    <mergeCell ref="Z21:Z23"/>
    <mergeCell ref="AA21:AA23"/>
    <mergeCell ref="AB21:AB23"/>
    <mergeCell ref="AC21:AC23"/>
    <mergeCell ref="U22:V22"/>
    <mergeCell ref="AN20:AO20"/>
    <mergeCell ref="AP20:AQ20"/>
    <mergeCell ref="AR20:AS20"/>
    <mergeCell ref="AV20:AW20"/>
    <mergeCell ref="AX20:AY20"/>
    <mergeCell ref="AZ20:BA20"/>
    <mergeCell ref="AA18:AA20"/>
    <mergeCell ref="AB18:AB20"/>
    <mergeCell ref="AC18:AC20"/>
    <mergeCell ref="AH18:AM18"/>
    <mergeCell ref="AN18:AS18"/>
    <mergeCell ref="U19:V19"/>
    <mergeCell ref="U20:V20"/>
    <mergeCell ref="AH20:AI20"/>
    <mergeCell ref="AJ20:AK20"/>
    <mergeCell ref="AL20:AM20"/>
    <mergeCell ref="AC13:AC15"/>
    <mergeCell ref="U14:V14"/>
    <mergeCell ref="U15:V15"/>
    <mergeCell ref="Q17:S17"/>
    <mergeCell ref="U17:V17"/>
    <mergeCell ref="Q18:R20"/>
    <mergeCell ref="S18:S20"/>
    <mergeCell ref="T18:T20"/>
    <mergeCell ref="U18:V18"/>
    <mergeCell ref="Z18:Z20"/>
    <mergeCell ref="U12:V12"/>
    <mergeCell ref="T13:T15"/>
    <mergeCell ref="U13:V13"/>
    <mergeCell ref="Z13:Z15"/>
    <mergeCell ref="AA13:AA15"/>
    <mergeCell ref="AB13:AB15"/>
    <mergeCell ref="BD9:BE9"/>
    <mergeCell ref="BF9:BG9"/>
    <mergeCell ref="BH9:BI9"/>
    <mergeCell ref="T10:T12"/>
    <mergeCell ref="U10:V10"/>
    <mergeCell ref="Z10:Z12"/>
    <mergeCell ref="AA10:AA12"/>
    <mergeCell ref="AB10:AB12"/>
    <mergeCell ref="AC10:AC12"/>
    <mergeCell ref="U11:V11"/>
    <mergeCell ref="AN9:AO9"/>
    <mergeCell ref="AP9:AQ9"/>
    <mergeCell ref="AR9:AS9"/>
    <mergeCell ref="AV9:AW9"/>
    <mergeCell ref="AX9:AY9"/>
    <mergeCell ref="AZ9:BA9"/>
    <mergeCell ref="AA7:AA9"/>
    <mergeCell ref="AB7:AB9"/>
    <mergeCell ref="AC7:AC9"/>
    <mergeCell ref="AH7:AM7"/>
    <mergeCell ref="AN7:AS7"/>
    <mergeCell ref="U8:V8"/>
    <mergeCell ref="U9:V9"/>
    <mergeCell ref="AH9:AI9"/>
    <mergeCell ref="AJ9:AK9"/>
    <mergeCell ref="AL9:AM9"/>
    <mergeCell ref="Q1:AE1"/>
    <mergeCell ref="Q2:AE2"/>
    <mergeCell ref="Q4:AE4"/>
    <mergeCell ref="Q6:S6"/>
    <mergeCell ref="U6:V6"/>
    <mergeCell ref="Q7:R9"/>
    <mergeCell ref="S7:S9"/>
    <mergeCell ref="T7:T9"/>
    <mergeCell ref="U7:V7"/>
    <mergeCell ref="Z7:Z9"/>
  </mergeCells>
  <printOptions/>
  <pageMargins left="0.7" right="0.7" top="0.75" bottom="0.75" header="0.3" footer="0.3"/>
  <pageSetup orientation="portrait" paperSize="9" scale="56" r:id="rId3"/>
  <rowBreaks count="2" manualBreakCount="2">
    <brk id="111" max="255" man="1"/>
    <brk id="19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="60" zoomScaleNormal="75" zoomScalePageLayoutView="0" workbookViewId="0" topLeftCell="M1">
      <selection activeCell="Q46" sqref="Q46"/>
    </sheetView>
  </sheetViews>
  <sheetFormatPr defaultColWidth="9.28125" defaultRowHeight="15"/>
  <cols>
    <col min="1" max="1" width="9.28125" style="1" hidden="1" customWidth="1"/>
    <col min="2" max="7" width="9.28125" style="2" hidden="1" customWidth="1"/>
    <col min="8" max="9" width="18.7109375" style="2" hidden="1" customWidth="1"/>
    <col min="10" max="10" width="19.7109375" style="2" hidden="1" customWidth="1"/>
    <col min="11" max="11" width="3.7109375" style="115" hidden="1" customWidth="1"/>
    <col min="12" max="12" width="21.140625" style="115" hidden="1" customWidth="1"/>
    <col min="13" max="13" width="3.7109375" style="224" customWidth="1"/>
    <col min="14" max="14" width="7.28125" style="1" customWidth="1"/>
    <col min="15" max="15" width="50.7109375" style="1" customWidth="1"/>
    <col min="16" max="16" width="3.7109375" style="1" customWidth="1"/>
    <col min="17" max="20" width="25.7109375" style="1" customWidth="1"/>
    <col min="21" max="21" width="25.7109375" style="91" hidden="1" customWidth="1"/>
    <col min="22" max="16384" width="9.28125" style="2" customWidth="1"/>
  </cols>
  <sheetData>
    <row r="1" spans="13:21" ht="15.75">
      <c r="M1" s="252" t="s">
        <v>86</v>
      </c>
      <c r="N1" s="252"/>
      <c r="O1" s="252"/>
      <c r="P1" s="252"/>
      <c r="Q1" s="252"/>
      <c r="R1" s="252"/>
      <c r="S1" s="252"/>
      <c r="T1" s="252"/>
      <c r="U1" s="252"/>
    </row>
    <row r="2" spans="13:21" ht="15.75">
      <c r="M2" s="252" t="str">
        <f>IF(ISBLANK('[1]dane'!$D$3),"",'[1]dane'!$D$3)</f>
        <v>Mielec,  21-04-2013 r.</v>
      </c>
      <c r="N2" s="252"/>
      <c r="O2" s="252"/>
      <c r="P2" s="252"/>
      <c r="Q2" s="252"/>
      <c r="R2" s="252"/>
      <c r="S2" s="252"/>
      <c r="T2" s="252"/>
      <c r="U2" s="252"/>
    </row>
    <row r="3" spans="12:16" ht="11.25" customHeight="1">
      <c r="L3" s="223" t="s">
        <v>87</v>
      </c>
      <c r="N3" s="8"/>
      <c r="O3" s="8"/>
      <c r="P3" s="87"/>
    </row>
    <row r="4" spans="12:21" ht="11.25" customHeight="1">
      <c r="L4" s="225" t="s">
        <v>88</v>
      </c>
      <c r="M4" s="253" t="str">
        <f>"Gra "&amp;L4</f>
        <v>Gra Gra podwójna</v>
      </c>
      <c r="N4" s="253"/>
      <c r="O4" s="253"/>
      <c r="P4" s="253"/>
      <c r="Q4" s="253"/>
      <c r="R4" s="253"/>
      <c r="S4" s="253"/>
      <c r="T4" s="253"/>
      <c r="U4" s="253"/>
    </row>
    <row r="5" ht="11.25" customHeight="1"/>
    <row r="6" ht="15">
      <c r="L6" s="226"/>
    </row>
    <row r="7" spans="12:20" ht="12.75">
      <c r="L7" s="227">
        <v>10</v>
      </c>
      <c r="O7" s="91"/>
      <c r="P7" s="91"/>
      <c r="Q7" s="91"/>
      <c r="R7" s="91"/>
      <c r="S7" s="91"/>
      <c r="T7" s="91"/>
    </row>
    <row r="8" spans="12:20" ht="15">
      <c r="L8" s="220" t="s">
        <v>88</v>
      </c>
      <c r="M8" s="8"/>
      <c r="Q8" s="91"/>
      <c r="R8" s="91"/>
      <c r="S8" s="91"/>
      <c r="T8" s="91"/>
    </row>
    <row r="9" spans="11:20" ht="15">
      <c r="K9" s="115">
        <f>IF(L7&gt;8,1,"")</f>
        <v>1</v>
      </c>
      <c r="L9" s="118" t="s">
        <v>60</v>
      </c>
      <c r="M9" s="224">
        <f>IF(K9="","",1)</f>
        <v>1</v>
      </c>
      <c r="N9" s="228" t="str">
        <f>UPPER(IF(M9="","",IF(ISTEXT(L9),L9,IF(AND(L6&gt;0,M9&gt;0),VLOOKUP(L6&amp;M9&amp;J10,'[1]grup-puch'!I:J,2,FALSE),""))))</f>
        <v>K0012</v>
      </c>
      <c r="O9" s="229" t="str">
        <f>IF(N9&lt;&gt;"",CONCATENATE(VLOOKUP(N9,'[1]zawodnicy'!$A:$E,2,FALSE)," ",VLOOKUP(N9,'[1]zawodnicy'!$A:$E,3,FALSE)," - ",VLOOKUP(N9,'[1]zawodnicy'!$A:$E,4,FALSE)),"")</f>
        <v>Piotr KOTERBA - Rzeszów</v>
      </c>
      <c r="P9" s="230"/>
      <c r="Q9" s="108" t="str">
        <f>IF(F10="","",VLOOKUP(F10,'[1]zawodnicy'!$A:$D,3,FALSE))</f>
        <v>KOTERBA</v>
      </c>
      <c r="R9" s="101"/>
      <c r="S9" s="101"/>
      <c r="T9" s="101"/>
    </row>
    <row r="10" spans="1:20" ht="15">
      <c r="A10" s="92">
        <f>P10</f>
        <v>0</v>
      </c>
      <c r="B10" s="2" t="str">
        <f>IF(N9="","",N9)</f>
        <v>K0012</v>
      </c>
      <c r="C10" s="2" t="str">
        <f>IF(N10="","",N10)</f>
        <v>D0008</v>
      </c>
      <c r="D10" s="2">
        <f>IF(N11="","",N11)</f>
      </c>
      <c r="E10" s="2">
        <f>IF(N12="","",N12)</f>
      </c>
      <c r="F10" s="2" t="str">
        <f>IF(A10=0,IF(AND(LEN(B10)&gt;0,LEN(D10)=0),VLOOKUP(B10,'[1]zawodnicy'!$A:$E,1,FALSE),IF(AND(LEN(D10)&gt;0,LEN(B10)=0),VLOOKUP(D10,'[1]zawodnicy'!$A:$E,1,FALSE),"")),IF((VLOOKUP(A10,'[1]plan gier'!$X:$AF,7,FALSE))="","",VLOOKUP(VLOOKUP(A10,'[1]plan gier'!$X:$AF,7,FALSE),'[1]zawodnicy'!$A:$E,1,FALSE)))</f>
        <v>K0012</v>
      </c>
      <c r="G10" s="2" t="str">
        <f>IF(A10=0,IF(AND(LEN(C10)&gt;1,LEN(E10)=0),VLOOKUP(C10,'[1]zawodnicy'!$A:$E,1,FALSE),IF(AND(LEN(E10)&gt;1,LEN(C10)=0),VLOOKUP(E10,'[1]zawodnicy'!$A:$E,1,FALSE),"")),IF((VLOOKUP(A10,'[1]plan gier'!$X:$AF,8,FALSE))="","",VLOOKUP(VLOOKUP(A10,'[1]plan gier'!$X:$AF,8,FALSE),'[1]zawodnicy'!$A:$E,1,FALSE)))</f>
        <v>D0008</v>
      </c>
      <c r="H10" s="2">
        <f>IF(A10=0,"",IF((VLOOKUP(A10,'[1]plan gier'!$X:$AF,7,FALSE))="","",VLOOKUP(A10,'[1]plan gier'!$X:$AF,9,FALSE)))</f>
      </c>
      <c r="I10" s="2">
        <f>IF(A10=0,"",IF(VLOOKUP(A10,'[1]plan gier'!A:S,19,FALSE)="","",VLOOKUP(A10,'[1]plan gier'!A:S,19,FALSE)))</f>
      </c>
      <c r="J10" s="2" t="str">
        <f>L8</f>
        <v>Gra podwójna</v>
      </c>
      <c r="L10" s="118" t="s">
        <v>32</v>
      </c>
      <c r="N10" s="231" t="str">
        <f>UPPER(IF(M9="","",IF(ISTEXT(L10),L10,IF(AND(L6&gt;0,M9&gt;0),VLOOKUP(L6&amp;M9&amp;J10,'[1]grup-puch'!I:K,3,FALSE),""))))</f>
        <v>D0008</v>
      </c>
      <c r="O10" s="232" t="str">
        <f>IF(N10&lt;&gt;"",CONCATENATE(VLOOKUP(N10,'[1]zawodnicy'!$A:$E,2,FALSE)," ",VLOOKUP(N10,'[1]zawodnicy'!$A:$E,3,FALSE)," - ",VLOOKUP(N10,'[1]zawodnicy'!$A:$E,4,FALSE)),"")</f>
        <v>Patrycja DOMAŃSKA - Rzeszów</v>
      </c>
      <c r="P10" s="233"/>
      <c r="Q10" s="96" t="str">
        <f>IF(G10="","",VLOOKUP(G10,'[1]zawodnicy'!$A:$D,3,FALSE))</f>
        <v>DOMAŃSKA</v>
      </c>
      <c r="R10" s="101"/>
      <c r="S10" s="101"/>
      <c r="T10" s="101"/>
    </row>
    <row r="11" spans="11:20" ht="15">
      <c r="K11" s="115">
        <f>IF(L7&gt;15,3,"")</f>
      </c>
      <c r="L11" s="118"/>
      <c r="M11" s="224">
        <f>IF(K11="","",2)</f>
      </c>
      <c r="N11" s="228">
        <f>UPPER(IF(M11="","",IF(ISTEXT(L11),L11,IF(AND(L6&gt;0,M11&gt;0),VLOOKUP(L6&amp;M11&amp;J10,'[1]grup-puch'!I:J,2,FALSE),""))))</f>
      </c>
      <c r="O11" s="229">
        <f>IF(N11&lt;&gt;"",CONCATENATE(VLOOKUP(N11,'[1]zawodnicy'!$A:$E,2,FALSE)," ",VLOOKUP(N11,'[1]zawodnicy'!$A:$E,3,FALSE)," - ",VLOOKUP(N11,'[1]zawodnicy'!$A:$E,4,FALSE)),"")</f>
      </c>
      <c r="P11" s="234"/>
      <c r="Q11" s="235">
        <f>IF(H10="",I10,H10)</f>
      </c>
      <c r="R11" s="108" t="str">
        <f>IF(F12="","",VLOOKUP(F12,'[1]zawodnicy'!$A:$D,3,FALSE))</f>
        <v>KOTERBA</v>
      </c>
      <c r="S11" s="101"/>
      <c r="T11" s="101"/>
    </row>
    <row r="12" spans="1:20" ht="15.75" thickBot="1">
      <c r="A12" s="98">
        <f>Q12</f>
        <v>85</v>
      </c>
      <c r="B12" s="2" t="str">
        <f>F10</f>
        <v>K0012</v>
      </c>
      <c r="C12" s="2" t="str">
        <f>G10</f>
        <v>D0008</v>
      </c>
      <c r="D12" s="2" t="str">
        <f>F14</f>
        <v>B0021</v>
      </c>
      <c r="E12" s="2" t="str">
        <f>G14</f>
        <v>P0023</v>
      </c>
      <c r="F12" s="2" t="str">
        <f>IF(A12=0,IF(AND(LEN(B12)&gt;0,LEN(D12)=0),B12,IF(AND(LEN(D12)&gt;0,LEN(B12)=0),D12,"")),IF((VLOOKUP(A12,'[1]plan gier'!$X:$AF,7,FALSE))="","",VLOOKUP(VLOOKUP(A12,'[1]plan gier'!$X:$AF,7,FALSE),'[1]zawodnicy'!$A:$E,1,FALSE)))</f>
        <v>K0012</v>
      </c>
      <c r="G12" s="2" t="str">
        <f>IF(A12=0,IF(AND(LEN(C12)&gt;0,LEN(E12)=0),C12,IF(AND(LEN(E12)&gt;0,LEN(C12)=0),E12,"")),IF((VLOOKUP(A12,'[1]plan gier'!$X:$AF,8,FALSE))="","",VLOOKUP(VLOOKUP(A12,'[1]plan gier'!$X:$AF,8,FALSE),'[1]zawodnicy'!$A:$E,1,FALSE)))</f>
        <v>D0008</v>
      </c>
      <c r="H12" s="2" t="str">
        <f>IF(A12=0,"",IF((VLOOKUP(A12,'[1]plan gier'!$X:$AF,7,FALSE))="","",VLOOKUP(A12,'[1]plan gier'!$X:$AF,9,FALSE)))</f>
        <v>21:15,21:11</v>
      </c>
      <c r="I12" s="2" t="str">
        <f>IF(A12=0,"",IF(VLOOKUP(A12,'[1]plan gier'!A:S,19,FALSE)="","",VLOOKUP(A12,'[1]plan gier'!A:S,19,FALSE)))</f>
        <v>godz.16:00</v>
      </c>
      <c r="J12" s="2" t="str">
        <f>L8</f>
        <v>Gra podwójna</v>
      </c>
      <c r="L12" s="236"/>
      <c r="N12" s="237">
        <f>UPPER(IF(M11="","",IF(ISTEXT(L12),L12,IF(AND(L6&gt;0,M11&gt;0),VLOOKUP(L6&amp;M11&amp;J10,'[1]grup-puch'!I:K,3,FALSE),""))))</f>
      </c>
      <c r="O12" s="238">
        <f>IF(N12&lt;&gt;"",CONCATENATE(VLOOKUP(N12,'[1]zawodnicy'!$A:$E,2,FALSE)," ",VLOOKUP(N12,'[1]zawodnicy'!$A:$E,3,FALSE)," - ",VLOOKUP(N12,'[1]zawodnicy'!$A:$E,4,FALSE)),"")</f>
      </c>
      <c r="P12" s="239"/>
      <c r="Q12" s="102">
        <v>85</v>
      </c>
      <c r="R12" s="96" t="str">
        <f>IF(G12="","",VLOOKUP(G12,'[1]zawodnicy'!$A:$D,3,FALSE))</f>
        <v>DOMAŃSKA</v>
      </c>
      <c r="S12" s="101"/>
      <c r="T12" s="101"/>
    </row>
    <row r="13" spans="11:20" ht="15.75" thickTop="1">
      <c r="K13" s="115">
        <f>IF(L7&gt;8,5,"")</f>
        <v>5</v>
      </c>
      <c r="L13" s="240" t="s">
        <v>57</v>
      </c>
      <c r="M13" s="224">
        <f>IF(K13="","",MAX(M9:M12)+1)</f>
        <v>2</v>
      </c>
      <c r="N13" s="241" t="str">
        <f>UPPER(IF(M13="","",IF(ISTEXT(L13),L13,IF(AND(L6&gt;0,M13&gt;0),VLOOKUP(L6&amp;M13&amp;J14,'[1]grup-puch'!I:J,2,FALSE),""))))</f>
        <v>B0021</v>
      </c>
      <c r="O13" s="99" t="str">
        <f>IF(N13&lt;&gt;"",CONCATENATE(VLOOKUP(N13,'[1]zawodnicy'!$A:$E,2,FALSE)," ",VLOOKUP(N13,'[1]zawodnicy'!$A:$E,3,FALSE)," - ",VLOOKUP(N13,'[1]zawodnicy'!$A:$E,4,FALSE)),"")</f>
        <v>Krystian BUKOWIŃSKI - Dubiecko</v>
      </c>
      <c r="P13" s="234"/>
      <c r="Q13" s="242" t="str">
        <f>IF(F14="","",VLOOKUP(F14,'[1]zawodnicy'!$A:$D,3,FALSE))</f>
        <v>BUKOWIŃSKI</v>
      </c>
      <c r="R13" s="103" t="str">
        <f>IF(H12="",I12,H12)</f>
        <v>21:15,21:11</v>
      </c>
      <c r="S13" s="101"/>
      <c r="T13" s="101"/>
    </row>
    <row r="14" spans="1:20" ht="15">
      <c r="A14" s="92">
        <f>P14</f>
        <v>0</v>
      </c>
      <c r="B14" s="2" t="str">
        <f>IF(N13="","",N13)</f>
        <v>B0021</v>
      </c>
      <c r="C14" s="2" t="str">
        <f>IF(N14="","",N14)</f>
        <v>P0023</v>
      </c>
      <c r="D14" s="2">
        <f>IF(N15="","",N15)</f>
      </c>
      <c r="E14" s="2">
        <f>IF(N16="","",N16)</f>
      </c>
      <c r="F14" s="2" t="str">
        <f>IF(A14=0,IF(AND(LEN(B14)&gt;0,LEN(D14)=0),VLOOKUP(B14,'[1]zawodnicy'!$A:$E,1,FALSE),IF(AND(LEN(D14)&gt;0,LEN(B14)=0),VLOOKUP(D14,'[1]zawodnicy'!$A:$E,1,FALSE),"")),IF((VLOOKUP(A14,'[1]plan gier'!$X:$AF,7,FALSE))="","",VLOOKUP(VLOOKUP(A14,'[1]plan gier'!$X:$AF,7,FALSE),'[1]zawodnicy'!$A:$E,1,FALSE)))</f>
        <v>B0021</v>
      </c>
      <c r="G14" s="2" t="str">
        <f>IF(A14=0,IF(AND(LEN(C14)&gt;1,LEN(E14)=0),VLOOKUP(C14,'[1]zawodnicy'!$A:$E,1,FALSE),IF(AND(LEN(E14)&gt;1,LEN(C14)=0),VLOOKUP(E14,'[1]zawodnicy'!$A:$E,1,FALSE),"")),IF((VLOOKUP(A14,'[1]plan gier'!$X:$AF,8,FALSE))="","",VLOOKUP(VLOOKUP(A14,'[1]plan gier'!$X:$AF,8,FALSE),'[1]zawodnicy'!$A:$E,1,FALSE)))</f>
        <v>P0023</v>
      </c>
      <c r="H14" s="2">
        <f>IF(A14=0,"",IF((VLOOKUP(A14,'[1]plan gier'!$X:$AF,7,FALSE))="","",VLOOKUP(A14,'[1]plan gier'!$X:$AF,9,FALSE)))</f>
      </c>
      <c r="I14" s="2">
        <f>IF(A14=0,"",IF(VLOOKUP(A14,'[1]plan gier'!A:S,19,FALSE)="","",VLOOKUP(A14,'[1]plan gier'!A:S,19,FALSE)))</f>
      </c>
      <c r="J14" s="2" t="str">
        <f>L8</f>
        <v>Gra podwójna</v>
      </c>
      <c r="L14" s="118" t="s">
        <v>80</v>
      </c>
      <c r="N14" s="231" t="str">
        <f>UPPER(IF(M13="","",IF(ISTEXT(L14),L14,IF(AND(L6&gt;0,M13&gt;0),VLOOKUP(L6&amp;M13&amp;J14,'[1]grup-puch'!I:K,3,FALSE),""))))</f>
        <v>P0023</v>
      </c>
      <c r="O14" s="232" t="str">
        <f>IF(N14&lt;&gt;"",CONCATENATE(VLOOKUP(N14,'[1]zawodnicy'!$A:$E,2,FALSE)," ",VLOOKUP(N14,'[1]zawodnicy'!$A:$E,3,FALSE)," - ",VLOOKUP(N14,'[1]zawodnicy'!$A:$E,4,FALSE)),"")</f>
        <v>Robert PANTOŁA - Dubiecko</v>
      </c>
      <c r="P14" s="233"/>
      <c r="Q14" s="243" t="str">
        <f>IF(G14="","",VLOOKUP(G14,'[1]zawodnicy'!$A:$D,3,FALSE))</f>
        <v>PANTOŁA</v>
      </c>
      <c r="R14" s="103"/>
      <c r="S14" s="101"/>
      <c r="T14" s="101"/>
    </row>
    <row r="15" spans="11:20" ht="15">
      <c r="K15" s="115">
        <f>IF(L7&gt;11,7,"")</f>
      </c>
      <c r="L15" s="118"/>
      <c r="M15" s="224">
        <f>IF(K15="","",MAX(M9:M14)+1)</f>
      </c>
      <c r="N15" s="228">
        <f>UPPER(IF(M15="","",IF(ISTEXT(L15),L15,IF(AND(L6&gt;0,M15&gt;0),VLOOKUP(L6&amp;M15&amp;J14,'[1]grup-puch'!I:J,2,FALSE),""))))</f>
      </c>
      <c r="O15" s="229">
        <f>IF(N15&lt;&gt;"",CONCATENATE(VLOOKUP(N15,'[1]zawodnicy'!$A:$E,2,FALSE)," ",VLOOKUP(N15,'[1]zawodnicy'!$A:$E,3,FALSE)," - ",VLOOKUP(N15,'[1]zawodnicy'!$A:$E,4,FALSE)),"")</f>
      </c>
      <c r="P15" s="234"/>
      <c r="Q15" s="97">
        <f>IF(H14="",I14,H14)</f>
      </c>
      <c r="R15" s="103"/>
      <c r="S15" s="108" t="str">
        <f>IF(F16="","",VLOOKUP(F16,'[1]zawodnicy'!$A:$D,3,FALSE))</f>
        <v>BUNIO</v>
      </c>
      <c r="T15" s="101"/>
    </row>
    <row r="16" spans="1:20" ht="15.75" thickBot="1">
      <c r="A16" s="244">
        <f>R16</f>
        <v>89</v>
      </c>
      <c r="B16" s="2" t="str">
        <f>F12</f>
        <v>K0012</v>
      </c>
      <c r="C16" s="2" t="str">
        <f>G12</f>
        <v>D0008</v>
      </c>
      <c r="D16" s="2" t="str">
        <f>F20</f>
        <v>B0009</v>
      </c>
      <c r="E16" s="2" t="str">
        <f>G20</f>
        <v>I0002</v>
      </c>
      <c r="F16" s="2" t="str">
        <f>IF(A16=0,IF(AND(LEN(B16)&gt;0,LEN(D16)=0),B16,IF(AND(LEN(D16)&gt;0,LEN(B16)=0),D16,"")),IF((VLOOKUP(A16,'[1]plan gier'!$X:$AF,7,FALSE))="","",VLOOKUP(VLOOKUP(A16,'[1]plan gier'!$X:$AF,7,FALSE),'[1]zawodnicy'!$A:$E,1,FALSE)))</f>
        <v>B0009</v>
      </c>
      <c r="G16" s="2" t="str">
        <f>IF(A16=0,IF(AND(LEN(C16)&gt;0,LEN(E16)=0),C16,IF(AND(LEN(E16)&gt;0,LEN(C16)=0),E16,"")),IF((VLOOKUP(A16,'[1]plan gier'!$X:$AF,8,FALSE))="","",VLOOKUP(VLOOKUP(A16,'[1]plan gier'!$X:$AF,8,FALSE),'[1]zawodnicy'!$A:$E,1,FALSE)))</f>
        <v>I0002</v>
      </c>
      <c r="H16" s="2" t="str">
        <f>IF(A16=0,"",IF((VLOOKUP(A16,'[1]plan gier'!$X:$AF,7,FALSE))="","",VLOOKUP(A16,'[1]plan gier'!$X:$AF,9,FALSE)))</f>
        <v>21:12,21:1</v>
      </c>
      <c r="I16" s="2" t="str">
        <f>IF(A16=0,"",IF(VLOOKUP(A16,'[1]plan gier'!A:S,19,FALSE)="","",VLOOKUP(A16,'[1]plan gier'!A:S,19,FALSE)))</f>
        <v>godz.16:20</v>
      </c>
      <c r="J16" s="2" t="str">
        <f>L8</f>
        <v>Gra podwójna</v>
      </c>
      <c r="L16" s="236"/>
      <c r="N16" s="237">
        <f>UPPER(IF(M15="","",IF(ISTEXT(L16),L16,IF(AND(L6&gt;0,M15&gt;0),VLOOKUP(L6&amp;M15&amp;J14,'[1]grup-puch'!I:K,3,FALSE),""))))</f>
      </c>
      <c r="O16" s="238">
        <f>IF(N16&lt;&gt;"",CONCATENATE(VLOOKUP(N16,'[1]zawodnicy'!$A:$E,2,FALSE)," ",VLOOKUP(N16,'[1]zawodnicy'!$A:$E,3,FALSE)," - ",VLOOKUP(N16,'[1]zawodnicy'!$A:$E,4,FALSE)),"")</f>
      </c>
      <c r="P16" s="239"/>
      <c r="Q16" s="108"/>
      <c r="R16" s="102">
        <v>89</v>
      </c>
      <c r="S16" s="96" t="str">
        <f>IF(G16="","",VLOOKUP(G16,'[1]zawodnicy'!$A:$D,3,FALSE))</f>
        <v>IWAŃSKI</v>
      </c>
      <c r="T16" s="101"/>
    </row>
    <row r="17" spans="11:20" ht="15.75" thickTop="1">
      <c r="K17" s="115">
        <f>IF(L7&gt;8,9,"")</f>
        <v>9</v>
      </c>
      <c r="L17" s="240" t="s">
        <v>30</v>
      </c>
      <c r="M17" s="224">
        <f>IF(K17="","",MAX(M9:M16)+1)</f>
        <v>3</v>
      </c>
      <c r="N17" s="241" t="str">
        <f>UPPER(IF(M17="","",IF(ISTEXT(L17),L17,IF(AND(L6&gt;0,M17&gt;0),VLOOKUP(L6&amp;M17&amp;J18,'[1]grup-puch'!I:J,2,FALSE),""))))</f>
        <v>G0014</v>
      </c>
      <c r="O17" s="99" t="str">
        <f>IF(N17&lt;&gt;"",CONCATENATE(VLOOKUP(N17,'[1]zawodnicy'!$A:$E,2,FALSE)," ",VLOOKUP(N17,'[1]zawodnicy'!$A:$E,3,FALSE)," - ",VLOOKUP(N17,'[1]zawodnicy'!$A:$E,4,FALSE)),"")</f>
        <v>Eryk GŁOWACKI - Tarnowiec</v>
      </c>
      <c r="P17" s="234"/>
      <c r="Q17" s="108" t="str">
        <f>IF(F18="","",VLOOKUP(F18,'[1]zawodnicy'!$A:$D,3,FALSE))</f>
        <v>GŁOWACKI</v>
      </c>
      <c r="R17" s="103"/>
      <c r="S17" s="242" t="str">
        <f>IF(H16="",I16,H16)</f>
        <v>21:12,21:1</v>
      </c>
      <c r="T17" s="101"/>
    </row>
    <row r="18" spans="1:20" ht="15">
      <c r="A18" s="92">
        <f>P18</f>
        <v>0</v>
      </c>
      <c r="B18" s="2" t="str">
        <f>IF(N17="","",N17)</f>
        <v>G0014</v>
      </c>
      <c r="C18" s="2" t="str">
        <f>IF(N18="","",N18)</f>
        <v>G0015</v>
      </c>
      <c r="D18" s="2">
        <f>IF(N19="","",N19)</f>
      </c>
      <c r="E18" s="2">
        <f>IF(N20="","",N20)</f>
      </c>
      <c r="F18" s="2" t="str">
        <f>IF(A18=0,IF(AND(LEN(B18)&gt;0,LEN(D18)=0),VLOOKUP(B18,'[1]zawodnicy'!$A:$E,1,FALSE),IF(AND(LEN(D18)&gt;0,LEN(B18)=0),VLOOKUP(D18,'[1]zawodnicy'!$A:$E,1,FALSE),"")),IF((VLOOKUP(A18,'[1]plan gier'!$X:$AF,7,FALSE))="","",VLOOKUP(VLOOKUP(A18,'[1]plan gier'!$X:$AF,7,FALSE),'[1]zawodnicy'!$A:$E,1,FALSE)))</f>
        <v>G0014</v>
      </c>
      <c r="G18" s="2" t="str">
        <f>IF(A18=0,IF(AND(LEN(C18)&gt;1,LEN(E18)=0),VLOOKUP(C18,'[1]zawodnicy'!$A:$E,1,FALSE),IF(AND(LEN(E18)&gt;1,LEN(C18)=0),VLOOKUP(E18,'[1]zawodnicy'!$A:$E,1,FALSE),"")),IF((VLOOKUP(A18,'[1]plan gier'!$X:$AF,8,FALSE))="","",VLOOKUP(VLOOKUP(A18,'[1]plan gier'!$X:$AF,8,FALSE),'[1]zawodnicy'!$A:$E,1,FALSE)))</f>
        <v>G0015</v>
      </c>
      <c r="H18" s="2">
        <f>IF(A18=0,"",IF((VLOOKUP(A18,'[1]plan gier'!$X:$AF,7,FALSE))="","",VLOOKUP(A18,'[1]plan gier'!$X:$AF,9,FALSE)))</f>
      </c>
      <c r="I18" s="2">
        <f>IF(A18=0,"",IF(VLOOKUP(A18,'[1]plan gier'!A:S,19,FALSE)="","",VLOOKUP(A18,'[1]plan gier'!A:S,19,FALSE)))</f>
      </c>
      <c r="J18" s="2" t="str">
        <f>L8</f>
        <v>Gra podwójna</v>
      </c>
      <c r="L18" s="118" t="s">
        <v>59</v>
      </c>
      <c r="N18" s="231" t="str">
        <f>UPPER(IF(M17="","",IF(ISTEXT(L18),L18,IF(AND(L6&gt;0,M17&gt;0),VLOOKUP(L6&amp;M17&amp;J18,'[1]grup-puch'!I:K,3,FALSE),""))))</f>
        <v>G0015</v>
      </c>
      <c r="O18" s="232" t="str">
        <f>IF(N18&lt;&gt;"",CONCATENATE(VLOOKUP(N18,'[1]zawodnicy'!$A:$E,2,FALSE)," ",VLOOKUP(N18,'[1]zawodnicy'!$A:$E,3,FALSE)," - ",VLOOKUP(N18,'[1]zawodnicy'!$A:$E,4,FALSE)),"")</f>
        <v>Piotr GŁOWACKI - Tarnowiec</v>
      </c>
      <c r="P18" s="233"/>
      <c r="Q18" s="96" t="str">
        <f>IF(G18="","",VLOOKUP(G18,'[1]zawodnicy'!$A:$D,3,FALSE))</f>
        <v>GŁOWACKI</v>
      </c>
      <c r="R18" s="103"/>
      <c r="S18" s="103"/>
      <c r="T18" s="101"/>
    </row>
    <row r="19" spans="11:20" ht="15">
      <c r="K19" s="115">
        <f>IF(L7&gt;13,11,"")</f>
      </c>
      <c r="L19" s="118"/>
      <c r="M19" s="224">
        <f>IF(K19="","",MAX(M9:M18)+1)</f>
      </c>
      <c r="N19" s="228">
        <f>UPPER(IF(M19="","",IF(ISTEXT(L19),L19,IF(AND(L6&gt;0,M19&gt;0),VLOOKUP(L6&amp;M19&amp;J18,'[1]grup-puch'!I:J,2,FALSE),""))))</f>
      </c>
      <c r="O19" s="229">
        <f>IF(N19&lt;&gt;"",CONCATENATE(VLOOKUP(N19,'[1]zawodnicy'!$A:$E,2,FALSE)," ",VLOOKUP(N19,'[1]zawodnicy'!$A:$E,3,FALSE)," - ",VLOOKUP(N19,'[1]zawodnicy'!$A:$E,4,FALSE)),"")</f>
      </c>
      <c r="P19" s="234"/>
      <c r="Q19" s="235">
        <f>IF(H18="",I18,H18)</f>
      </c>
      <c r="R19" s="242" t="str">
        <f>IF(F20="","",VLOOKUP(F20,'[1]zawodnicy'!$A:$D,3,FALSE))</f>
        <v>BUNIO</v>
      </c>
      <c r="S19" s="103"/>
      <c r="T19" s="101"/>
    </row>
    <row r="20" spans="1:20" ht="15.75" thickBot="1">
      <c r="A20" s="98">
        <f>Q20</f>
        <v>86</v>
      </c>
      <c r="B20" s="2" t="str">
        <f>F18</f>
        <v>G0014</v>
      </c>
      <c r="C20" s="2" t="str">
        <f>G18</f>
        <v>G0015</v>
      </c>
      <c r="D20" s="2" t="str">
        <f>F22</f>
        <v>B0009</v>
      </c>
      <c r="E20" s="2" t="str">
        <f>G22</f>
        <v>I0002</v>
      </c>
      <c r="F20" s="2" t="str">
        <f>IF(A20=0,IF(AND(LEN(B20)&gt;0,LEN(D20)=0),B20,IF(AND(LEN(D20)&gt;0,LEN(B20)=0),D20,"")),IF((VLOOKUP(A20,'[1]plan gier'!$X:$AF,7,FALSE))="","",VLOOKUP(VLOOKUP(A20,'[1]plan gier'!$X:$AF,7,FALSE),'[1]zawodnicy'!$A:$E,1,FALSE)))</f>
        <v>B0009</v>
      </c>
      <c r="G20" s="2" t="str">
        <f>IF(A20=0,IF(AND(LEN(C20)&gt;0,LEN(E20)=0),C20,IF(AND(LEN(E20)&gt;0,LEN(C20)=0),E20,"")),IF((VLOOKUP(A20,'[1]plan gier'!$X:$AF,8,FALSE))="","",VLOOKUP(VLOOKUP(A20,'[1]plan gier'!$X:$AF,8,FALSE),'[1]zawodnicy'!$A:$E,1,FALSE)))</f>
        <v>I0002</v>
      </c>
      <c r="H20" s="2" t="str">
        <f>IF(A20=0,"",IF((VLOOKUP(A20,'[1]plan gier'!$X:$AF,7,FALSE))="","",VLOOKUP(A20,'[1]plan gier'!$X:$AF,9,FALSE)))</f>
        <v>21:10,21:7</v>
      </c>
      <c r="I20" s="2" t="str">
        <f>IF(A20=0,"",IF(VLOOKUP(A20,'[1]plan gier'!A:S,19,FALSE)="","",VLOOKUP(A20,'[1]plan gier'!A:S,19,FALSE)))</f>
        <v>godz.16:00</v>
      </c>
      <c r="J20" s="2" t="str">
        <f>L8</f>
        <v>Gra podwójna</v>
      </c>
      <c r="L20" s="236"/>
      <c r="N20" s="237">
        <f>UPPER(IF(M19="","",IF(ISTEXT(L20),L20,IF(AND(L6&gt;0,M19&gt;0),VLOOKUP(L6&amp;M19&amp;J18,'[1]grup-puch'!I:K,3,FALSE),""))))</f>
      </c>
      <c r="O20" s="238">
        <f>IF(N20&lt;&gt;"",CONCATENATE(VLOOKUP(N20,'[1]zawodnicy'!$A:$E,2,FALSE)," ",VLOOKUP(N20,'[1]zawodnicy'!$A:$E,3,FALSE)," - ",VLOOKUP(N20,'[1]zawodnicy'!$A:$E,4,FALSE)),"")</f>
      </c>
      <c r="P20" s="239"/>
      <c r="Q20" s="102">
        <v>86</v>
      </c>
      <c r="R20" s="243" t="str">
        <f>IF(G20="","",VLOOKUP(G20,'[1]zawodnicy'!$A:$D,3,FALSE))</f>
        <v>IWAŃSKI</v>
      </c>
      <c r="S20" s="103"/>
      <c r="T20" s="101"/>
    </row>
    <row r="21" spans="11:20" ht="15.75" thickTop="1">
      <c r="K21" s="115">
        <f>IF(L7&gt;8,13,"")</f>
        <v>13</v>
      </c>
      <c r="L21" s="240" t="s">
        <v>65</v>
      </c>
      <c r="M21" s="224">
        <f>IF(K21="","",MAX(M9:M20)+1)</f>
        <v>4</v>
      </c>
      <c r="N21" s="241" t="str">
        <f>UPPER(IF(M21="","",IF(ISTEXT(L21),L21,IF(AND(L6&gt;0,M21&gt;0),VLOOKUP(L6&amp;M21&amp;J22,'[1]grup-puch'!I:J,2,FALSE),""))))</f>
        <v>G0017</v>
      </c>
      <c r="O21" s="99" t="str">
        <f>IF(N21&lt;&gt;"",CONCATENATE(VLOOKUP(N21,'[1]zawodnicy'!$A:$E,2,FALSE)," ",VLOOKUP(N21,'[1]zawodnicy'!$A:$E,3,FALSE)," - ",VLOOKUP(N21,'[1]zawodnicy'!$A:$E,4,FALSE)),"")</f>
        <v>Grzegorz GODZWON - Rzeszów</v>
      </c>
      <c r="P21" s="234"/>
      <c r="Q21" s="242" t="str">
        <f>IF(F22="","",VLOOKUP(F22,'[1]zawodnicy'!$A:$D,3,FALSE))</f>
        <v>BUNIO</v>
      </c>
      <c r="R21" s="108" t="str">
        <f>IF(H20="",I20,H20)</f>
        <v>21:10,21:7</v>
      </c>
      <c r="S21" s="103"/>
      <c r="T21" s="101"/>
    </row>
    <row r="22" spans="1:20" ht="15">
      <c r="A22" s="92">
        <f>P22</f>
        <v>91</v>
      </c>
      <c r="B22" s="2" t="str">
        <f>IF(N21="","",N21)</f>
        <v>G0017</v>
      </c>
      <c r="C22" s="2" t="str">
        <f>IF(N22="","",N22)</f>
        <v>W0014</v>
      </c>
      <c r="D22" s="2" t="str">
        <f>IF(N23="","",N23)</f>
        <v>B0009</v>
      </c>
      <c r="E22" s="2" t="str">
        <f>IF(N24="","",N24)</f>
        <v>I0002</v>
      </c>
      <c r="F22" s="2" t="str">
        <f>IF(A22=0,IF(AND(LEN(B22)&gt;0,LEN(D22)=0),VLOOKUP(B22,'[1]zawodnicy'!$A:$E,1,FALSE),IF(AND(LEN(D22)&gt;0,LEN(B22)=0),VLOOKUP(D22,'[1]zawodnicy'!$A:$E,1,FALSE),"")),IF((VLOOKUP(A22,'[1]plan gier'!$X:$AF,7,FALSE))="","",VLOOKUP(VLOOKUP(A22,'[1]plan gier'!$X:$AF,7,FALSE),'[1]zawodnicy'!$A:$E,1,FALSE)))</f>
        <v>B0009</v>
      </c>
      <c r="G22" s="2" t="str">
        <f>IF(A22=0,IF(AND(LEN(C22)&gt;1,LEN(E22)=0),VLOOKUP(C22,'[1]zawodnicy'!$A:$E,1,FALSE),IF(AND(LEN(E22)&gt;1,LEN(C22)=0),VLOOKUP(E22,'[1]zawodnicy'!$A:$E,1,FALSE),"")),IF((VLOOKUP(A22,'[1]plan gier'!$X:$AF,8,FALSE))="","",VLOOKUP(VLOOKUP(A22,'[1]plan gier'!$X:$AF,8,FALSE),'[1]zawodnicy'!$A:$E,1,FALSE)))</f>
        <v>I0002</v>
      </c>
      <c r="H22" s="2" t="str">
        <f>IF(A22=0,"",IF((VLOOKUP(A22,'[1]plan gier'!$X:$AF,7,FALSE))="","",VLOOKUP(A22,'[1]plan gier'!$X:$AF,9,FALSE)))</f>
        <v>21:7,21:11</v>
      </c>
      <c r="I22" s="2" t="str">
        <f>IF(A22=0,"",IF(VLOOKUP(A22,'[1]plan gier'!A:S,19,FALSE)="","",VLOOKUP(A22,'[1]plan gier'!A:S,19,FALSE)))</f>
        <v>godz.16:20</v>
      </c>
      <c r="J22" s="2" t="str">
        <f>L8</f>
        <v>Gra podwójna</v>
      </c>
      <c r="L22" s="118" t="s">
        <v>54</v>
      </c>
      <c r="N22" s="231" t="str">
        <f>UPPER(IF(M21="","",IF(ISTEXT(L22),L22,IF(AND(L6&gt;0,M21&gt;0),VLOOKUP(L6&amp;M21&amp;J22,'[1]grup-puch'!I:K,3,FALSE),""))))</f>
        <v>W0014</v>
      </c>
      <c r="O22" s="232" t="str">
        <f>IF(N22&lt;&gt;"",CONCATENATE(VLOOKUP(N22,'[1]zawodnicy'!$A:$E,2,FALSE)," ",VLOOKUP(N22,'[1]zawodnicy'!$A:$E,3,FALSE)," - ",VLOOKUP(N22,'[1]zawodnicy'!$A:$E,4,FALSE)),"")</f>
        <v>Mariusz  WARNECKI - Rzeszów</v>
      </c>
      <c r="P22" s="233">
        <v>91</v>
      </c>
      <c r="Q22" s="243" t="str">
        <f>IF(G22="","",VLOOKUP(G22,'[1]zawodnicy'!$A:$D,3,FALSE))</f>
        <v>IWAŃSKI</v>
      </c>
      <c r="R22" s="101"/>
      <c r="S22" s="103"/>
      <c r="T22" s="101"/>
    </row>
    <row r="23" spans="11:20" ht="15">
      <c r="K23" s="115">
        <f>IF(L7&gt;9,15,"")</f>
        <v>15</v>
      </c>
      <c r="L23" s="118" t="s">
        <v>77</v>
      </c>
      <c r="M23" s="224">
        <f>IF(K23="","",MAX(M9:M22)+1)</f>
        <v>5</v>
      </c>
      <c r="N23" s="228" t="str">
        <f>UPPER(IF(M23="","",IF(ISTEXT(L23),L23,IF(AND(L6&gt;0,M23&gt;0),VLOOKUP(L6&amp;M23&amp;J22,'[1]grup-puch'!I:J,2,FALSE),""))))</f>
        <v>B0009</v>
      </c>
      <c r="O23" s="229" t="str">
        <f>IF(N23&lt;&gt;"",CONCATENATE(VLOOKUP(N23,'[1]zawodnicy'!$A:$E,2,FALSE)," ",VLOOKUP(N23,'[1]zawodnicy'!$A:$E,3,FALSE)," - ",VLOOKUP(N23,'[1]zawodnicy'!$A:$E,4,FALSE)),"")</f>
        <v>Adam BUNIO - Nowa Dęba</v>
      </c>
      <c r="P23" s="234"/>
      <c r="Q23" s="97" t="str">
        <f>IF(H22="",I22,H22)</f>
        <v>21:7,21:11</v>
      </c>
      <c r="R23" s="101"/>
      <c r="S23" s="103"/>
      <c r="T23" s="108" t="str">
        <f>IF(F24="","",VLOOKUP(F24,'[1]zawodnicy'!$A:$D,3,FALSE))</f>
        <v>BUNIO</v>
      </c>
    </row>
    <row r="24" spans="1:20" ht="15.75" thickBot="1">
      <c r="A24" s="110">
        <f>S24</f>
        <v>93</v>
      </c>
      <c r="B24" s="2" t="str">
        <f>F16</f>
        <v>B0009</v>
      </c>
      <c r="C24" s="2" t="str">
        <f>G16</f>
        <v>I0002</v>
      </c>
      <c r="D24" s="2" t="str">
        <f>F32</f>
        <v>S0040</v>
      </c>
      <c r="E24" s="2" t="str">
        <f>G32</f>
        <v>B0020</v>
      </c>
      <c r="F24" s="2" t="str">
        <f>IF(A24=0,IF(AND(LEN(B24)&gt;0,LEN(D24)=0),B24,IF(AND(LEN(D24)&gt;0,LEN(B24)=0),D24,"")),IF((VLOOKUP(A24,'[1]plan gier'!$X:$AF,7,FALSE))="","",VLOOKUP(VLOOKUP(A24,'[1]plan gier'!$X:$AF,7,FALSE),'[1]zawodnicy'!$A:$E,1,FALSE)))</f>
        <v>B0009</v>
      </c>
      <c r="G24" s="2" t="str">
        <f>IF(A24=0,IF(AND(LEN(C24)&gt;0,LEN(E24)=0),C24,IF(AND(LEN(E24)&gt;0,LEN(C24)=0),E24,"")),IF((VLOOKUP(A24,'[1]plan gier'!$X:$AF,8,FALSE))="","",VLOOKUP(VLOOKUP(A24,'[1]plan gier'!$X:$AF,8,FALSE),'[1]zawodnicy'!$A:$E,1,FALSE)))</f>
        <v>I0002</v>
      </c>
      <c r="H24" s="2" t="str">
        <f>IF(A24=0,"",IF((VLOOKUP(A24,'[1]plan gier'!$X:$AF,7,FALSE))="","",VLOOKUP(A24,'[1]plan gier'!$X:$AF,9,FALSE)))</f>
        <v>21:12,21:5</v>
      </c>
      <c r="I24" s="2" t="str">
        <f>IF(A24=0,"",IF(VLOOKUP(A24,'[1]plan gier'!A:S,19,FALSE)="","",VLOOKUP(A24,'[1]plan gier'!A:S,19,FALSE)))</f>
        <v>godz.16:40</v>
      </c>
      <c r="J24" s="2" t="str">
        <f>L8</f>
        <v>Gra podwójna</v>
      </c>
      <c r="L24" s="236" t="s">
        <v>84</v>
      </c>
      <c r="N24" s="237" t="str">
        <f>UPPER(IF(M23="","",IF(ISTEXT(L24),L24,IF(AND(L6&gt;0,M23&gt;0),VLOOKUP(L6&amp;M23&amp;J22,'[1]grup-puch'!I:K,3,FALSE),""))))</f>
        <v>I0002</v>
      </c>
      <c r="O24" s="238" t="str">
        <f>IF(N24&lt;&gt;"",CONCATENATE(VLOOKUP(N24,'[1]zawodnicy'!$A:$E,2,FALSE)," ",VLOOKUP(N24,'[1]zawodnicy'!$A:$E,3,FALSE)," - ",VLOOKUP(N24,'[1]zawodnicy'!$A:$E,4,FALSE)),"")</f>
        <v>Igor IWAŃSKI - Mielec</v>
      </c>
      <c r="P24" s="239"/>
      <c r="Q24" s="108"/>
      <c r="R24" s="101"/>
      <c r="S24" s="102">
        <v>93</v>
      </c>
      <c r="T24" s="96" t="str">
        <f>IF(G24="","",VLOOKUP(G24,'[1]zawodnicy'!$A:$D,3,FALSE))</f>
        <v>IWAŃSKI</v>
      </c>
    </row>
    <row r="25" spans="11:20" ht="15.75" thickTop="1">
      <c r="K25" s="115">
        <f>IF(L7&gt;8,18,"")</f>
        <v>18</v>
      </c>
      <c r="L25" s="240" t="s">
        <v>21</v>
      </c>
      <c r="M25" s="224">
        <f>IF(K25="","",MAX(M9:M24)+1)</f>
        <v>6</v>
      </c>
      <c r="N25" s="241" t="str">
        <f>UPPER(IF(M25="","",IF(ISTEXT(L25),L25,IF(AND(L6&gt;0,M25&gt;0),VLOOKUP(L6&amp;M25&amp;J26,'[1]grup-puch'!I:J,2,FALSE),""))))</f>
        <v>R0017</v>
      </c>
      <c r="O25" s="99" t="str">
        <f>IF(N25&lt;&gt;"",CONCATENATE(VLOOKUP(N25,'[1]zawodnicy'!$A:$E,2,FALSE)," ",VLOOKUP(N25,'[1]zawodnicy'!$A:$E,3,FALSE)," - ",VLOOKUP(N25,'[1]zawodnicy'!$A:$E,4,FALSE)),"")</f>
        <v>Patryk RUSIN - Mielec</v>
      </c>
      <c r="P25" s="234"/>
      <c r="Q25" s="108" t="str">
        <f>IF(F26="","",VLOOKUP(F26,'[1]zawodnicy'!$A:$D,3,FALSE))</f>
        <v>RUSIN</v>
      </c>
      <c r="R25" s="101"/>
      <c r="S25" s="103"/>
      <c r="T25" s="101" t="str">
        <f>IF(H24="",I24,H24)</f>
        <v>21:12,21:5</v>
      </c>
    </row>
    <row r="26" spans="1:20" ht="15">
      <c r="A26" s="92">
        <f>P26</f>
        <v>84</v>
      </c>
      <c r="B26" s="2" t="str">
        <f>IF(N25="","",N25)</f>
        <v>R0017</v>
      </c>
      <c r="C26" s="2" t="str">
        <f>IF(N26="","",N26)</f>
        <v>W0012</v>
      </c>
      <c r="D26" s="2" t="str">
        <f>IF(N27="","",N27)</f>
        <v>S0035</v>
      </c>
      <c r="E26" s="2" t="str">
        <f>IF(N28="","",N28)</f>
        <v>W0013</v>
      </c>
      <c r="F26" s="2" t="str">
        <f>IF(A26=0,IF(AND(LEN(B26)&gt;0,LEN(D26)=0),VLOOKUP(B26,'[1]zawodnicy'!$A:$E,1,FALSE),IF(AND(LEN(D26)&gt;0,LEN(B26)=0),VLOOKUP(D26,'[1]zawodnicy'!$A:$E,1,FALSE),"")),IF((VLOOKUP(A26,'[1]plan gier'!$X:$AF,7,FALSE))="","",VLOOKUP(VLOOKUP(A26,'[1]plan gier'!$X:$AF,7,FALSE),'[1]zawodnicy'!$A:$E,1,FALSE)))</f>
        <v>R0017</v>
      </c>
      <c r="G26" s="2" t="str">
        <f>IF(A26=0,IF(AND(LEN(C26)&gt;1,LEN(E26)=0),VLOOKUP(C26,'[1]zawodnicy'!$A:$E,1,FALSE),IF(AND(LEN(E26)&gt;1,LEN(C26)=0),VLOOKUP(E26,'[1]zawodnicy'!$A:$E,1,FALSE),"")),IF((VLOOKUP(A26,'[1]plan gier'!$X:$AF,8,FALSE))="","",VLOOKUP(VLOOKUP(A26,'[1]plan gier'!$X:$AF,8,FALSE),'[1]zawodnicy'!$A:$E,1,FALSE)))</f>
        <v>W0012</v>
      </c>
      <c r="H26" s="2" t="str">
        <f>IF(A26=0,"",IF((VLOOKUP(A26,'[1]plan gier'!$X:$AF,7,FALSE))="","",VLOOKUP(A26,'[1]plan gier'!$X:$AF,9,FALSE)))</f>
        <v>21:19,21:10</v>
      </c>
      <c r="I26" s="2" t="str">
        <f>IF(A26=0,"",IF(VLOOKUP(A26,'[1]plan gier'!A:S,19,FALSE)="","",VLOOKUP(A26,'[1]plan gier'!A:S,19,FALSE)))</f>
        <v>godz.15:40</v>
      </c>
      <c r="J26" s="2" t="str">
        <f>L8</f>
        <v>Gra podwójna</v>
      </c>
      <c r="L26" s="118" t="s">
        <v>33</v>
      </c>
      <c r="N26" s="231" t="str">
        <f>UPPER(IF(M25="","",IF(ISTEXT(L26),L26,IF(AND(L6&gt;0,M25&gt;0),VLOOKUP(L6&amp;M25&amp;J26,'[1]grup-puch'!I:K,3,FALSE),""))))</f>
        <v>W0012</v>
      </c>
      <c r="O26" s="232" t="str">
        <f>IF(N26&lt;&gt;"",CONCATENATE(VLOOKUP(N26,'[1]zawodnicy'!$A:$E,2,FALSE)," ",VLOOKUP(N26,'[1]zawodnicy'!$A:$E,3,FALSE)," - ",VLOOKUP(N26,'[1]zawodnicy'!$A:$E,4,FALSE)),"")</f>
        <v>Tomasz WYDRO - Mielec</v>
      </c>
      <c r="P26" s="233">
        <v>84</v>
      </c>
      <c r="Q26" s="96" t="str">
        <f>IF(G26="","",VLOOKUP(G26,'[1]zawodnicy'!$A:$D,3,FALSE))</f>
        <v>WYDRO</v>
      </c>
      <c r="R26" s="101"/>
      <c r="S26" s="103"/>
      <c r="T26" s="101"/>
    </row>
    <row r="27" spans="11:20" ht="15">
      <c r="K27" s="115">
        <f>IF(L7&gt;8,20,"")</f>
        <v>20</v>
      </c>
      <c r="L27" s="118" t="s">
        <v>23</v>
      </c>
      <c r="M27" s="224">
        <f>IF(K27="","",MAX(M9:M26)+1)</f>
        <v>7</v>
      </c>
      <c r="N27" s="228" t="str">
        <f>UPPER(IF(M27="","",IF(ISTEXT(L27),L27,IF(AND(L6&gt;0,M27&gt;0),VLOOKUP(L6&amp;M27&amp;J26,'[1]grup-puch'!I:J,2,FALSE),""))))</f>
        <v>S0035</v>
      </c>
      <c r="O27" s="229" t="str">
        <f>IF(N27&lt;&gt;"",CONCATENATE(VLOOKUP(N27,'[1]zawodnicy'!$A:$E,2,FALSE)," ",VLOOKUP(N27,'[1]zawodnicy'!$A:$E,3,FALSE)," - ",VLOOKUP(N27,'[1]zawodnicy'!$A:$E,4,FALSE)),"")</f>
        <v>Kuba SITEK - Rzeszów</v>
      </c>
      <c r="P27" s="234"/>
      <c r="Q27" s="235" t="str">
        <f>IF(H26="",I26,H26)</f>
        <v>21:19,21:10</v>
      </c>
      <c r="R27" s="108" t="str">
        <f>IF(F28="","",VLOOKUP(F28,'[1]zawodnicy'!$A:$D,3,FALSE))</f>
        <v>SPŁAWIŃSKI</v>
      </c>
      <c r="S27" s="103"/>
      <c r="T27" s="101"/>
    </row>
    <row r="28" spans="1:20" ht="15.75" thickBot="1">
      <c r="A28" s="98">
        <f>Q28</f>
        <v>87</v>
      </c>
      <c r="B28" s="2" t="str">
        <f>F26</f>
        <v>R0017</v>
      </c>
      <c r="C28" s="2" t="str">
        <f>G26</f>
        <v>W0012</v>
      </c>
      <c r="D28" s="2" t="str">
        <f>F30</f>
        <v>S0040</v>
      </c>
      <c r="E28" s="2" t="str">
        <f>G30</f>
        <v>B0020</v>
      </c>
      <c r="F28" s="2" t="str">
        <f>IF(A28=0,IF(AND(LEN(B28)&gt;0,LEN(D28)=0),B28,IF(AND(LEN(D28)&gt;0,LEN(B28)=0),D28,"")),IF((VLOOKUP(A28,'[1]plan gier'!$X:$AF,7,FALSE))="","",VLOOKUP(VLOOKUP(A28,'[1]plan gier'!$X:$AF,7,FALSE),'[1]zawodnicy'!$A:$E,1,FALSE)))</f>
        <v>S0040</v>
      </c>
      <c r="G28" s="2" t="str">
        <f>IF(A28=0,IF(AND(LEN(C28)&gt;0,LEN(E28)=0),C28,IF(AND(LEN(E28)&gt;0,LEN(C28)=0),E28,"")),IF((VLOOKUP(A28,'[1]plan gier'!$X:$AF,8,FALSE))="","",VLOOKUP(VLOOKUP(A28,'[1]plan gier'!$X:$AF,8,FALSE),'[1]zawodnicy'!$A:$E,1,FALSE)))</f>
        <v>B0020</v>
      </c>
      <c r="H28" s="2" t="str">
        <f>IF(A28=0,"",IF((VLOOKUP(A28,'[1]plan gier'!$X:$AF,7,FALSE))="","",VLOOKUP(A28,'[1]plan gier'!$X:$AF,9,FALSE)))</f>
        <v>21:12,21:5</v>
      </c>
      <c r="I28" s="2" t="str">
        <f>IF(A28=0,"",IF(VLOOKUP(A28,'[1]plan gier'!A:S,19,FALSE)="","",VLOOKUP(A28,'[1]plan gier'!A:S,19,FALSE)))</f>
        <v>godz.16:00</v>
      </c>
      <c r="J28" s="2" t="str">
        <f>L8</f>
        <v>Gra podwójna</v>
      </c>
      <c r="L28" s="236" t="s">
        <v>20</v>
      </c>
      <c r="N28" s="237" t="str">
        <f>UPPER(IF(M27="","",IF(ISTEXT(L28),L28,IF(AND(L6&gt;0,M27&gt;0),VLOOKUP(L6&amp;M27&amp;J26,'[1]grup-puch'!I:K,3,FALSE),""))))</f>
        <v>W0013</v>
      </c>
      <c r="O28" s="238" t="str">
        <f>IF(N28&lt;&gt;"",CONCATENATE(VLOOKUP(N28,'[1]zawodnicy'!$A:$E,2,FALSE)," ",VLOOKUP(N28,'[1]zawodnicy'!$A:$E,3,FALSE)," - ",VLOOKUP(N28,'[1]zawodnicy'!$A:$E,4,FALSE)),"")</f>
        <v>Olaf WARNECKI - Rzeszów</v>
      </c>
      <c r="P28" s="239"/>
      <c r="Q28" s="102">
        <v>87</v>
      </c>
      <c r="R28" s="96" t="str">
        <f>IF(G28="","",VLOOKUP(G28,'[1]zawodnicy'!$A:$D,3,FALSE))</f>
        <v>BUKOWIŃSKA</v>
      </c>
      <c r="S28" s="103"/>
      <c r="T28" s="101"/>
    </row>
    <row r="29" spans="11:20" ht="15.75" thickTop="1">
      <c r="K29" s="115">
        <f>IF(L7&gt;12,22,"")</f>
      </c>
      <c r="L29" s="240"/>
      <c r="M29" s="224">
        <f>IF(K29="","",MAX(M9:M28)+1)</f>
      </c>
      <c r="N29" s="241">
        <f>UPPER(IF(M29="","",IF(ISTEXT(L29),L29,IF(AND(L6&gt;0,M29&gt;0),VLOOKUP(L6&amp;M29&amp;J30,'[1]grup-puch'!I:J,2,FALSE),""))))</f>
      </c>
      <c r="O29" s="99">
        <f>IF(N29&lt;&gt;"",CONCATENATE(VLOOKUP(N29,'[1]zawodnicy'!$A:$E,2,FALSE)," ",VLOOKUP(N29,'[1]zawodnicy'!$A:$E,3,FALSE)," - ",VLOOKUP(N29,'[1]zawodnicy'!$A:$E,4,FALSE)),"")</f>
      </c>
      <c r="P29" s="234"/>
      <c r="Q29" s="242" t="str">
        <f>IF(F30="","",VLOOKUP(F30,'[1]zawodnicy'!$A:$D,3,FALSE))</f>
        <v>SPŁAWIŃSKI</v>
      </c>
      <c r="R29" s="103" t="str">
        <f>IF(H28="",I28,H28)</f>
        <v>21:12,21:5</v>
      </c>
      <c r="S29" s="103"/>
      <c r="T29" s="101"/>
    </row>
    <row r="30" spans="1:20" ht="15">
      <c r="A30" s="92">
        <f>P30</f>
        <v>0</v>
      </c>
      <c r="B30" s="2">
        <f>IF(N29="","",N29)</f>
      </c>
      <c r="C30" s="2">
        <f>IF(N30="","",N30)</f>
      </c>
      <c r="D30" s="2" t="str">
        <f>IF(N31="","",N31)</f>
        <v>S0040</v>
      </c>
      <c r="E30" s="2" t="str">
        <f>IF(N32="","",N32)</f>
        <v>B0020</v>
      </c>
      <c r="F30" s="2" t="str">
        <f>IF(A30=0,IF(AND(LEN(B30)&gt;0,LEN(D30)=0),VLOOKUP(B30,'[1]zawodnicy'!$A:$E,1,FALSE),IF(AND(LEN(D30)&gt;0,LEN(B30)=0),VLOOKUP(D30,'[1]zawodnicy'!$A:$E,1,FALSE),"")),IF((VLOOKUP(A30,'[1]plan gier'!$X:$AF,7,FALSE))="","",VLOOKUP(VLOOKUP(A30,'[1]plan gier'!$X:$AF,7,FALSE),'[1]zawodnicy'!$A:$E,1,FALSE)))</f>
        <v>S0040</v>
      </c>
      <c r="G30" s="2" t="str">
        <f>IF(A30=0,IF(AND(LEN(C30)&gt;1,LEN(E30)=0),VLOOKUP(C30,'[1]zawodnicy'!$A:$E,1,FALSE),IF(AND(LEN(E30)&gt;1,LEN(C30)=0),VLOOKUP(E30,'[1]zawodnicy'!$A:$E,1,FALSE),"")),IF((VLOOKUP(A30,'[1]plan gier'!$X:$AF,8,FALSE))="","",VLOOKUP(VLOOKUP(A30,'[1]plan gier'!$X:$AF,8,FALSE),'[1]zawodnicy'!$A:$E,1,FALSE)))</f>
        <v>B0020</v>
      </c>
      <c r="H30" s="2">
        <f>IF(A30=0,"",IF((VLOOKUP(A30,'[1]plan gier'!$X:$AF,7,FALSE))="","",VLOOKUP(A30,'[1]plan gier'!$X:$AF,9,FALSE)))</f>
      </c>
      <c r="I30" s="2">
        <f>IF(A30=0,"",IF(VLOOKUP(A30,'[1]plan gier'!A:S,19,FALSE)="","",VLOOKUP(A30,'[1]plan gier'!A:S,19,FALSE)))</f>
      </c>
      <c r="J30" s="2" t="str">
        <f>L8</f>
        <v>Gra podwójna</v>
      </c>
      <c r="L30" s="118"/>
      <c r="N30" s="231">
        <f>UPPER(IF(M29="","",IF(ISTEXT(L30),L30,IF(AND(L6&gt;0,M29&gt;0),VLOOKUP(L6&amp;M29&amp;J30,'[1]grup-puch'!I:K,3,FALSE),""))))</f>
      </c>
      <c r="O30" s="232">
        <f>IF(N30&lt;&gt;"",CONCATENATE(VLOOKUP(N30,'[1]zawodnicy'!$A:$E,2,FALSE)," ",VLOOKUP(N30,'[1]zawodnicy'!$A:$E,3,FALSE)," - ",VLOOKUP(N30,'[1]zawodnicy'!$A:$E,4,FALSE)),"")</f>
      </c>
      <c r="P30" s="233"/>
      <c r="Q30" s="243" t="str">
        <f>IF(G30="","",VLOOKUP(G30,'[1]zawodnicy'!$A:$D,3,FALSE))</f>
        <v>BUKOWIŃSKA</v>
      </c>
      <c r="R30" s="103"/>
      <c r="S30" s="103"/>
      <c r="T30" s="101"/>
    </row>
    <row r="31" spans="11:20" ht="15">
      <c r="K31" s="115">
        <f>IF(L7&gt;8,24,"")</f>
        <v>24</v>
      </c>
      <c r="L31" s="118" t="s">
        <v>66</v>
      </c>
      <c r="M31" s="224">
        <f>IF(K31="","",MAX(M9:M30)+1)</f>
        <v>8</v>
      </c>
      <c r="N31" s="228" t="str">
        <f>UPPER(IF(M31="","",IF(ISTEXT(L31),L31,IF(AND(L6&gt;0,M31&gt;0),VLOOKUP(L6&amp;M31&amp;J30,'[1]grup-puch'!I:J,2,FALSE),""))))</f>
        <v>S0040</v>
      </c>
      <c r="O31" s="229" t="str">
        <f>IF(N31&lt;&gt;"",CONCATENATE(VLOOKUP(N31,'[1]zawodnicy'!$A:$E,2,FALSE)," ",VLOOKUP(N31,'[1]zawodnicy'!$A:$E,3,FALSE)," - ",VLOOKUP(N31,'[1]zawodnicy'!$A:$E,4,FALSE)),"")</f>
        <v>Kamil SPŁAWIŃSKI - Dubiecko</v>
      </c>
      <c r="P31" s="234"/>
      <c r="Q31" s="97">
        <f>IF(H30="",I30,H30)</f>
      </c>
      <c r="R31" s="103"/>
      <c r="S31" s="242" t="str">
        <f>IF(F32="","",VLOOKUP(F32,'[1]zawodnicy'!$A:$D,3,FALSE))</f>
        <v>SPŁAWIŃSKI</v>
      </c>
      <c r="T31" s="101"/>
    </row>
    <row r="32" spans="1:20" ht="15.75" thickBot="1">
      <c r="A32" s="244">
        <f>R32</f>
        <v>90</v>
      </c>
      <c r="B32" s="2" t="str">
        <f>F28</f>
        <v>S0040</v>
      </c>
      <c r="C32" s="2" t="str">
        <f>G28</f>
        <v>B0020</v>
      </c>
      <c r="D32" s="2" t="str">
        <f>F36</f>
        <v>J0001</v>
      </c>
      <c r="E32" s="2" t="str">
        <f>G36</f>
        <v>P0021</v>
      </c>
      <c r="F32" s="2" t="str">
        <f>IF(A32=0,IF(AND(LEN(B32)&gt;0,LEN(D32)=0),B32,IF(AND(LEN(D32)&gt;0,LEN(B32)=0),D32,"")),IF((VLOOKUP(A32,'[1]plan gier'!$X:$AF,7,FALSE))="","",VLOOKUP(VLOOKUP(A32,'[1]plan gier'!$X:$AF,7,FALSE),'[1]zawodnicy'!$A:$E,1,FALSE)))</f>
        <v>S0040</v>
      </c>
      <c r="G32" s="2" t="str">
        <f>IF(A32=0,IF(AND(LEN(C32)&gt;0,LEN(E32)=0),C32,IF(AND(LEN(E32)&gt;0,LEN(C32)=0),E32,"")),IF((VLOOKUP(A32,'[1]plan gier'!$X:$AF,8,FALSE))="","",VLOOKUP(VLOOKUP(A32,'[1]plan gier'!$X:$AF,8,FALSE),'[1]zawodnicy'!$A:$E,1,FALSE)))</f>
        <v>B0020</v>
      </c>
      <c r="H32" s="2" t="str">
        <f>IF(A32=0,"",IF((VLOOKUP(A32,'[1]plan gier'!$X:$AF,7,FALSE))="","",VLOOKUP(A32,'[1]plan gier'!$X:$AF,9,FALSE)))</f>
        <v>21:7,21:17</v>
      </c>
      <c r="I32" s="2" t="str">
        <f>IF(A32=0,"",IF(VLOOKUP(A32,'[1]plan gier'!A:S,19,FALSE)="","",VLOOKUP(A32,'[1]plan gier'!A:S,19,FALSE)))</f>
        <v>godz.16:20</v>
      </c>
      <c r="J32" s="2" t="str">
        <f>L8</f>
        <v>Gra podwójna</v>
      </c>
      <c r="L32" s="236" t="s">
        <v>31</v>
      </c>
      <c r="N32" s="237" t="str">
        <f>UPPER(IF(M31="","",IF(ISTEXT(L32),L32,IF(AND(L6&gt;0,M31&gt;0),VLOOKUP(L6&amp;M31&amp;J30,'[1]grup-puch'!I:K,3,FALSE),""))))</f>
        <v>B0020</v>
      </c>
      <c r="O32" s="238" t="str">
        <f>IF(N32&lt;&gt;"",CONCATENATE(VLOOKUP(N32,'[1]zawodnicy'!$A:$E,2,FALSE)," ",VLOOKUP(N32,'[1]zawodnicy'!$A:$E,3,FALSE)," - ",VLOOKUP(N32,'[1]zawodnicy'!$A:$E,4,FALSE)),"")</f>
        <v>Klaudia BUKOWIŃSKA - Dubiecko</v>
      </c>
      <c r="P32" s="239"/>
      <c r="Q32" s="108"/>
      <c r="R32" s="102">
        <v>90</v>
      </c>
      <c r="S32" s="243" t="str">
        <f>IF(G32="","",VLOOKUP(G32,'[1]zawodnicy'!$A:$D,3,FALSE))</f>
        <v>BUKOWIŃSKA</v>
      </c>
      <c r="T32" s="101"/>
    </row>
    <row r="33" spans="11:20" ht="15.75" thickTop="1">
      <c r="K33" s="115">
        <f>IF(L7&gt;10,26,"")</f>
      </c>
      <c r="L33" s="240"/>
      <c r="M33" s="224">
        <f>IF(K33="","",MAX(M9:M32)+1)</f>
      </c>
      <c r="N33" s="241">
        <f>UPPER(IF(M33="","",IF(ISTEXT(L33),L33,IF(AND(L6&gt;0,M33&gt;0),VLOOKUP(L6&amp;M33&amp;J34,'[1]grup-puch'!I:J,2,FALSE),""))))</f>
      </c>
      <c r="O33" s="99">
        <f>IF(N33&lt;&gt;"",CONCATENATE(VLOOKUP(N33,'[1]zawodnicy'!$A:$E,2,FALSE)," ",VLOOKUP(N33,'[1]zawodnicy'!$A:$E,3,FALSE)," - ",VLOOKUP(N33,'[1]zawodnicy'!$A:$E,4,FALSE)),"")</f>
      </c>
      <c r="P33" s="234"/>
      <c r="Q33" s="108" t="str">
        <f>IF(F34="","",VLOOKUP(F34,'[1]zawodnicy'!$A:$D,3,FALSE))</f>
        <v>JĘDRZEJKO</v>
      </c>
      <c r="R33" s="103"/>
      <c r="S33" s="108" t="str">
        <f>IF(H32="",I32,H32)</f>
        <v>21:7,21:17</v>
      </c>
      <c r="T33" s="101"/>
    </row>
    <row r="34" spans="1:20" ht="15">
      <c r="A34" s="92">
        <f>P34</f>
        <v>0</v>
      </c>
      <c r="B34" s="2">
        <f>IF(N33="","",N33)</f>
      </c>
      <c r="C34" s="2">
        <f>IF(N34="","",N34)</f>
      </c>
      <c r="D34" s="2" t="str">
        <f>IF(N35="","",N35)</f>
        <v>J0001</v>
      </c>
      <c r="E34" s="2" t="str">
        <f>IF(N36="","",N36)</f>
        <v>P0021</v>
      </c>
      <c r="F34" s="2" t="str">
        <f>IF(A34=0,IF(AND(LEN(B34)&gt;0,LEN(D34)=0),VLOOKUP(B34,'[1]zawodnicy'!$A:$E,1,FALSE),IF(AND(LEN(D34)&gt;0,LEN(B34)=0),VLOOKUP(D34,'[1]zawodnicy'!$A:$E,1,FALSE),"")),IF((VLOOKUP(A34,'[1]plan gier'!$X:$AF,7,FALSE))="","",VLOOKUP(VLOOKUP(A34,'[1]plan gier'!$X:$AF,7,FALSE),'[1]zawodnicy'!$A:$E,1,FALSE)))</f>
        <v>J0001</v>
      </c>
      <c r="G34" s="2" t="str">
        <f>IF(A34=0,IF(AND(LEN(C34)&gt;1,LEN(E34)=0),VLOOKUP(C34,'[1]zawodnicy'!$A:$E,1,FALSE),IF(AND(LEN(E34)&gt;1,LEN(C34)=0),VLOOKUP(E34,'[1]zawodnicy'!$A:$E,1,FALSE),"")),IF((VLOOKUP(A34,'[1]plan gier'!$X:$AF,8,FALSE))="","",VLOOKUP(VLOOKUP(A34,'[1]plan gier'!$X:$AF,8,FALSE),'[1]zawodnicy'!$A:$E,1,FALSE)))</f>
        <v>P0021</v>
      </c>
      <c r="H34" s="2">
        <f>IF(A34=0,"",IF((VLOOKUP(A34,'[1]plan gier'!$X:$AF,7,FALSE))="","",VLOOKUP(A34,'[1]plan gier'!$X:$AF,9,FALSE)))</f>
      </c>
      <c r="I34" s="2">
        <f>IF(A34=0,"",IF(VLOOKUP(A34,'[1]plan gier'!A:S,19,FALSE)="","",VLOOKUP(A34,'[1]plan gier'!A:S,19,FALSE)))</f>
      </c>
      <c r="J34" s="2" t="str">
        <f>L8</f>
        <v>Gra podwójna</v>
      </c>
      <c r="L34" s="118"/>
      <c r="N34" s="231">
        <f>UPPER(IF(M33="","",IF(ISTEXT(L34),L34,IF(AND(L6&gt;0,M33&gt;0),VLOOKUP(L6&amp;M33&amp;J34,'[1]grup-puch'!I:K,3,FALSE),""))))</f>
      </c>
      <c r="O34" s="232">
        <f>IF(N34&lt;&gt;"",CONCATENATE(VLOOKUP(N34,'[1]zawodnicy'!$A:$E,2,FALSE)," ",VLOOKUP(N34,'[1]zawodnicy'!$A:$E,3,FALSE)," - ",VLOOKUP(N34,'[1]zawodnicy'!$A:$E,4,FALSE)),"")</f>
      </c>
      <c r="P34" s="233"/>
      <c r="Q34" s="96" t="str">
        <f>IF(G34="","",VLOOKUP(G34,'[1]zawodnicy'!$A:$D,3,FALSE))</f>
        <v>POLAŃSKI</v>
      </c>
      <c r="R34" s="103"/>
      <c r="S34" s="101"/>
      <c r="T34" s="101"/>
    </row>
    <row r="35" spans="11:20" ht="15">
      <c r="K35" s="115">
        <f>IF(L7&gt;8,28,"")</f>
        <v>28</v>
      </c>
      <c r="L35" s="118" t="s">
        <v>85</v>
      </c>
      <c r="M35" s="224">
        <f>IF(K35="","",MAX(M9:M34)+1)</f>
        <v>9</v>
      </c>
      <c r="N35" s="228" t="str">
        <f>UPPER(IF(M35="","",IF(ISTEXT(L35),L35,IF(AND(L6&gt;0,M35&gt;0),VLOOKUP(L6&amp;M35&amp;J34,'[1]grup-puch'!I:J,2,FALSE),""))))</f>
        <v>J0001</v>
      </c>
      <c r="O35" s="229" t="str">
        <f>IF(N35&lt;&gt;"",CONCATENATE(VLOOKUP(N35,'[1]zawodnicy'!$A:$E,2,FALSE)," ",VLOOKUP(N35,'[1]zawodnicy'!$A:$E,3,FALSE)," - ",VLOOKUP(N35,'[1]zawodnicy'!$A:$E,4,FALSE)),"")</f>
        <v>Mateusz JĘDRZEJKO - Rzeszów</v>
      </c>
      <c r="P35" s="234"/>
      <c r="Q35" s="235">
        <f>IF(H34="",I34,H34)</f>
      </c>
      <c r="R35" s="242" t="str">
        <f>IF(F36="","",VLOOKUP(F36,'[1]zawodnicy'!$A:$D,3,FALSE))</f>
        <v>JĘDRZEJKO</v>
      </c>
      <c r="S35" s="101"/>
      <c r="T35" s="101"/>
    </row>
    <row r="36" spans="1:20" ht="15.75" thickBot="1">
      <c r="A36" s="98">
        <f>Q36</f>
        <v>88</v>
      </c>
      <c r="B36" s="2" t="str">
        <f>F34</f>
        <v>J0001</v>
      </c>
      <c r="C36" s="2" t="str">
        <f>G34</f>
        <v>P0021</v>
      </c>
      <c r="D36" s="2" t="str">
        <f>F38</f>
        <v>M0026</v>
      </c>
      <c r="E36" s="2" t="str">
        <f>G38</f>
        <v>R0015</v>
      </c>
      <c r="F36" s="2" t="str">
        <f>IF(A36=0,IF(AND(LEN(B36)&gt;0,LEN(D36)=0),B36,IF(AND(LEN(D36)&gt;0,LEN(B36)=0),D36,"")),IF((VLOOKUP(A36,'[1]plan gier'!$X:$AF,7,FALSE))="","",VLOOKUP(VLOOKUP(A36,'[1]plan gier'!$X:$AF,7,FALSE),'[1]zawodnicy'!$A:$E,1,FALSE)))</f>
        <v>J0001</v>
      </c>
      <c r="G36" s="2" t="str">
        <f>IF(A36=0,IF(AND(LEN(C36)&gt;0,LEN(E36)=0),C36,IF(AND(LEN(E36)&gt;0,LEN(C36)=0),E36,"")),IF((VLOOKUP(A36,'[1]plan gier'!$X:$AF,8,FALSE))="","",VLOOKUP(VLOOKUP(A36,'[1]plan gier'!$X:$AF,8,FALSE),'[1]zawodnicy'!$A:$E,1,FALSE)))</f>
        <v>P0021</v>
      </c>
      <c r="H36" s="2" t="str">
        <f>IF(A36=0,"",IF((VLOOKUP(A36,'[1]plan gier'!$X:$AF,7,FALSE))="","",VLOOKUP(A36,'[1]plan gier'!$X:$AF,9,FALSE)))</f>
        <v>21:16,21:14</v>
      </c>
      <c r="I36" s="2" t="str">
        <f>IF(A36=0,"",IF(VLOOKUP(A36,'[1]plan gier'!A:S,19,FALSE)="","",VLOOKUP(A36,'[1]plan gier'!A:S,19,FALSE)))</f>
        <v>godz.16:00</v>
      </c>
      <c r="J36" s="2" t="str">
        <f>L8</f>
        <v>Gra podwójna</v>
      </c>
      <c r="L36" s="236" t="s">
        <v>16</v>
      </c>
      <c r="N36" s="237" t="str">
        <f>UPPER(IF(M35="","",IF(ISTEXT(L36),L36,IF(AND(L6&gt;0,M35&gt;0),VLOOKUP(L6&amp;M35&amp;J34,'[1]grup-puch'!I:K,3,FALSE),""))))</f>
        <v>P0021</v>
      </c>
      <c r="O36" s="238" t="str">
        <f>IF(N36&lt;&gt;"",CONCATENATE(VLOOKUP(N36,'[1]zawodnicy'!$A:$E,2,FALSE)," ",VLOOKUP(N36,'[1]zawodnicy'!$A:$E,3,FALSE)," - ",VLOOKUP(N36,'[1]zawodnicy'!$A:$E,4,FALSE)),"")</f>
        <v>Mikołaj POLAŃSKI - Rzeszów</v>
      </c>
      <c r="P36" s="239"/>
      <c r="Q36" s="102">
        <v>88</v>
      </c>
      <c r="R36" s="243" t="str">
        <f>IF(G36="","",VLOOKUP(G36,'[1]zawodnicy'!$A:$D,3,FALSE))</f>
        <v>POLAŃSKI</v>
      </c>
      <c r="S36" s="101"/>
      <c r="T36" s="101"/>
    </row>
    <row r="37" spans="11:20" ht="15.75" thickTop="1">
      <c r="K37" s="115">
        <f>IF(L7&gt;14,30,"")</f>
      </c>
      <c r="L37" s="240"/>
      <c r="M37" s="224">
        <f>IF(K37="","",MAX(M9:M36)+1)</f>
      </c>
      <c r="N37" s="241">
        <f>UPPER(IF(M37="","",IF(ISTEXT(L37),L37,IF(AND(L6&gt;0,M37&gt;0),VLOOKUP(L6&amp;M37&amp;J38,'[1]grup-puch'!I:J,2,FALSE),""))))</f>
      </c>
      <c r="O37" s="99">
        <f>IF(N37&lt;&gt;"",CONCATENATE(VLOOKUP(N37,'[1]zawodnicy'!$A:$E,2,FALSE)," ",VLOOKUP(N37,'[1]zawodnicy'!$A:$E,3,FALSE)," - ",VLOOKUP(N37,'[1]zawodnicy'!$A:$E,4,FALSE)),"")</f>
      </c>
      <c r="P37" s="234"/>
      <c r="Q37" s="242" t="str">
        <f>IF(F38="","",VLOOKUP(F38,'[1]zawodnicy'!$A:$D,3,FALSE))</f>
        <v>MACHAJ</v>
      </c>
      <c r="R37" s="108" t="str">
        <f>IF(H36="",I36,H36)</f>
        <v>21:16,21:14</v>
      </c>
      <c r="S37" s="101"/>
      <c r="T37" s="99"/>
    </row>
    <row r="38" spans="1:20" ht="15">
      <c r="A38" s="92">
        <f>P38</f>
        <v>0</v>
      </c>
      <c r="B38" s="2">
        <f>IF(N37="","",N37)</f>
      </c>
      <c r="C38" s="2">
        <f>IF(N38="","",N38)</f>
      </c>
      <c r="D38" s="2" t="str">
        <f>IF(N39="","",N39)</f>
        <v>M0026</v>
      </c>
      <c r="E38" s="2" t="str">
        <f>IF(N40="","",N40)</f>
        <v>R0015</v>
      </c>
      <c r="F38" s="2" t="str">
        <f>IF(A38=0,IF(AND(LEN(B38)&gt;0,LEN(D38)=0),VLOOKUP(B38,'[1]zawodnicy'!$A:$E,1,FALSE),IF(AND(LEN(D38)&gt;0,LEN(B38)=0),VLOOKUP(D38,'[1]zawodnicy'!$A:$E,1,FALSE),"")),IF((VLOOKUP(A38,'[1]plan gier'!$X:$AF,7,FALSE))="","",VLOOKUP(VLOOKUP(A38,'[1]plan gier'!$X:$AF,7,FALSE),'[1]zawodnicy'!$A:$E,1,FALSE)))</f>
        <v>M0026</v>
      </c>
      <c r="G38" s="2" t="str">
        <f>IF(A38=0,IF(AND(LEN(C38)&gt;1,LEN(E38)=0),VLOOKUP(C38,'[1]zawodnicy'!$A:$E,1,FALSE),IF(AND(LEN(E38)&gt;1,LEN(C38)=0),VLOOKUP(E38,'[1]zawodnicy'!$A:$E,1,FALSE),"")),IF((VLOOKUP(A38,'[1]plan gier'!$X:$AF,8,FALSE))="","",VLOOKUP(VLOOKUP(A38,'[1]plan gier'!$X:$AF,8,FALSE),'[1]zawodnicy'!$A:$E,1,FALSE)))</f>
        <v>R0015</v>
      </c>
      <c r="H38" s="2">
        <f>IF(A38=0,"",IF((VLOOKUP(A38,'[1]plan gier'!$X:$AF,7,FALSE))="","",VLOOKUP(A38,'[1]plan gier'!$X:$AF,9,FALSE)))</f>
      </c>
      <c r="I38" s="2">
        <f>IF(A38=0,"",IF(VLOOKUP(A38,'[1]plan gier'!A:S,19,FALSE)="","",VLOOKUP(A38,'[1]plan gier'!A:S,19,FALSE)))</f>
      </c>
      <c r="J38" s="2" t="str">
        <f>L8</f>
        <v>Gra podwójna</v>
      </c>
      <c r="L38" s="118"/>
      <c r="N38" s="231">
        <f>UPPER(IF(M37="","",IF(ISTEXT(L38),L38,IF(AND(L6&gt;0,M37&gt;0),VLOOKUP(L6&amp;M37&amp;J38,'[1]grup-puch'!I:K,3,FALSE),""))))</f>
      </c>
      <c r="O38" s="232">
        <f>IF(N38&lt;&gt;"",CONCATENATE(VLOOKUP(N38,'[1]zawodnicy'!$A:$E,2,FALSE)," ",VLOOKUP(N38,'[1]zawodnicy'!$A:$E,3,FALSE)," - ",VLOOKUP(N38,'[1]zawodnicy'!$A:$E,4,FALSE)),"")</f>
      </c>
      <c r="P38" s="233"/>
      <c r="Q38" s="243" t="str">
        <f>IF(G38="","",VLOOKUP(G38,'[1]zawodnicy'!$A:$D,3,FALSE))</f>
        <v>RADZAJ</v>
      </c>
      <c r="R38" s="101"/>
      <c r="S38" s="101"/>
      <c r="T38" s="101"/>
    </row>
    <row r="39" spans="11:21" ht="15">
      <c r="K39" s="115">
        <f>IF(L7&gt;8,32,"")</f>
        <v>32</v>
      </c>
      <c r="L39" s="118" t="s">
        <v>11</v>
      </c>
      <c r="M39" s="224">
        <f>IF(K39="","",MAX(M9:M38)+1)</f>
        <v>10</v>
      </c>
      <c r="N39" s="228" t="str">
        <f>UPPER(IF(M39="","",IF(ISTEXT(L39),L39,IF(AND(L6&gt;0,M39&gt;0),VLOOKUP(L6&amp;M39&amp;J38,'[1]grup-puch'!I:J,2,FALSE),""))))</f>
        <v>M0026</v>
      </c>
      <c r="O39" s="229" t="str">
        <f>IF(N39&lt;&gt;"",CONCATENATE(VLOOKUP(N39,'[1]zawodnicy'!$A:$E,2,FALSE)," ",VLOOKUP(N39,'[1]zawodnicy'!$A:$E,3,FALSE)," - ",VLOOKUP(N39,'[1]zawodnicy'!$A:$E,4,FALSE)),"")</f>
        <v>Wojciech MACHAJ - Mielec</v>
      </c>
      <c r="P39" s="234"/>
      <c r="Q39" s="97">
        <f>IF(H38="",I38,H38)</f>
      </c>
      <c r="R39" s="101"/>
      <c r="S39" s="2"/>
      <c r="T39" s="101"/>
      <c r="U39" s="101"/>
    </row>
    <row r="40" spans="1:21" ht="15">
      <c r="A40" s="245"/>
      <c r="B40" s="9"/>
      <c r="C40" s="9"/>
      <c r="D40" s="9"/>
      <c r="E40" s="9"/>
      <c r="F40" s="9"/>
      <c r="G40" s="9"/>
      <c r="H40" s="9"/>
      <c r="I40" s="9"/>
      <c r="J40" s="9"/>
      <c r="L40" s="118" t="s">
        <v>27</v>
      </c>
      <c r="N40" s="231" t="str">
        <f>UPPER(IF(M39="","",IF(ISTEXT(L40),L40,IF(AND(L6&gt;0,M39&gt;0),VLOOKUP(L6&amp;M39&amp;J38,'[1]grup-puch'!I:K,3,FALSE),""))))</f>
        <v>R0015</v>
      </c>
      <c r="O40" s="232" t="str">
        <f>IF(N40&lt;&gt;"",CONCATENATE(VLOOKUP(N40,'[1]zawodnicy'!$A:$E,2,FALSE)," ",VLOOKUP(N40,'[1]zawodnicy'!$A:$E,3,FALSE)," - ",VLOOKUP(N40,'[1]zawodnicy'!$A:$E,4,FALSE)),"")</f>
        <v>Oskar RADZAJ - Mielec</v>
      </c>
      <c r="P40" s="246"/>
      <c r="Q40" s="108"/>
      <c r="R40" s="101"/>
      <c r="S40" s="2"/>
      <c r="T40" s="111"/>
      <c r="U40" s="101"/>
    </row>
    <row r="41" ht="11.25" customHeight="1"/>
    <row r="42" ht="11.25" customHeight="1"/>
    <row r="43" ht="11.25" customHeight="1"/>
    <row r="44" ht="11.25" customHeight="1"/>
    <row r="45" spans="12:20" ht="15">
      <c r="L45" s="247" t="str">
        <f>J48</f>
        <v>Gra podwójna</v>
      </c>
      <c r="N45" s="348" t="s">
        <v>49</v>
      </c>
      <c r="O45" s="348"/>
      <c r="P45" s="348"/>
      <c r="Q45" s="91" t="s">
        <v>50</v>
      </c>
      <c r="R45" s="91"/>
      <c r="S45" s="91"/>
      <c r="T45" s="91"/>
    </row>
    <row r="46" spans="10:20" ht="15">
      <c r="J46" s="248"/>
      <c r="L46" s="247" t="s">
        <v>51</v>
      </c>
      <c r="M46" s="8"/>
      <c r="Q46" s="91"/>
      <c r="R46" s="91"/>
      <c r="S46" s="91"/>
      <c r="T46" s="91"/>
    </row>
    <row r="47" spans="12:20" ht="15">
      <c r="L47" s="118">
        <v>89</v>
      </c>
      <c r="N47" s="228" t="str">
        <f>IF(L47="","",IF(LEN(VLOOKUP(L47,A:J,6,FALSE))=0,"",IF(VLOOKUP(L47,A:J,6,FALSE)=VLOOKUP(L47,A:M,2,FALSE),VLOOKUP(L47,A:M,4,FALSE),VLOOKUP(L47,A:M,2,FALSE))))</f>
        <v>K0012</v>
      </c>
      <c r="O47" s="229" t="str">
        <f>IF(N47&lt;&gt;"",CONCATENATE(VLOOKUP(N47,'[1]zawodnicy'!$A:$E,2,FALSE)," ",VLOOKUP(N47,'[1]zawodnicy'!$A:$E,3,FALSE)," - ",VLOOKUP(N47,'[1]zawodnicy'!$A:$E,4,FALSE)),"")</f>
        <v>Piotr KOTERBA - Rzeszów</v>
      </c>
      <c r="P47" s="230"/>
      <c r="Q47" s="108" t="str">
        <f>IF(F48="","",VLOOKUP(F48,'[1]zawodnicy'!$A:$D,3,FALSE))</f>
        <v>KOTERBA</v>
      </c>
      <c r="R47" s="101"/>
      <c r="S47" s="101"/>
      <c r="T47" s="101"/>
    </row>
    <row r="48" spans="1:20" ht="15">
      <c r="A48" s="92">
        <f>P48</f>
        <v>92</v>
      </c>
      <c r="B48" s="2" t="str">
        <f>IF(N47="","",N47)</f>
        <v>K0012</v>
      </c>
      <c r="C48" s="2" t="str">
        <f>IF(N48="","",N48)</f>
        <v>D0008</v>
      </c>
      <c r="D48" s="2" t="str">
        <f>IF(N49="","",N49)</f>
        <v>J0001</v>
      </c>
      <c r="E48" s="2" t="str">
        <f>IF(N50="","",N50)</f>
        <v>P0021</v>
      </c>
      <c r="F48" s="2" t="str">
        <f>IF(A48=0,IF(AND(LEN(B48)&gt;0,LEN(D48)=0),VLOOKUP(B48,'[1]zawodnicy'!$A:$E,1,FALSE),IF(AND(LEN(D48)&gt;0,LEN(B48)=0),VLOOKUP(D48,'[1]zawodnicy'!$A:$E,1,FALSE),"")),IF((VLOOKUP(A48,'[1]plan gier'!$X:$AF,7,FALSE))="","",VLOOKUP(VLOOKUP(A48,'[1]plan gier'!$X:$AF,7,FALSE),'[1]zawodnicy'!$A:$E,1,FALSE)))</f>
        <v>K0012</v>
      </c>
      <c r="G48" s="2" t="str">
        <f>IF(A48=0,IF(AND(LEN(C48)&gt;1,LEN(E48)=0),VLOOKUP(C48,'[1]zawodnicy'!$A:$E,1,FALSE),IF(AND(LEN(E48)&gt;1,LEN(C48)=0),VLOOKUP(E48,'[1]zawodnicy'!$A:$E,1,FALSE),"")),IF((VLOOKUP(A48,'[1]plan gier'!$X:$AF,8,FALSE))="","",VLOOKUP(VLOOKUP(A48,'[1]plan gier'!$X:$AF,8,FALSE),'[1]zawodnicy'!$A:$E,1,FALSE)))</f>
        <v>D0008</v>
      </c>
      <c r="H48" s="2" t="str">
        <f>IF(A48=0,"",IF((VLOOKUP(A48,'[1]plan gier'!$X:$AF,7,FALSE))="","",VLOOKUP(A48,'[1]plan gier'!$X:$AF,9,FALSE)))</f>
        <v>21:3,21:10</v>
      </c>
      <c r="I48" s="2" t="str">
        <f>IF(A48=0,"",IF(VLOOKUP(A48,'[1]plan gier'!A:S,19,FALSE)="","",VLOOKUP(A48,'[1]plan gier'!A:S,19,FALSE)))</f>
        <v>godz.16:20</v>
      </c>
      <c r="J48" s="2" t="str">
        <f>IF(L47="","",VLOOKUP(L47,A:J,10,FALSE))</f>
        <v>Gra podwójna</v>
      </c>
      <c r="L48" s="249"/>
      <c r="N48" s="231" t="str">
        <f>IF(L47="","",IF(LEN(VLOOKUP(L47,A:J,7,FALSE))=0,"",IF(VLOOKUP(L47,A:J,7,FALSE)=VLOOKUP(L47,A:M,3,FALSE),VLOOKUP(L47,A:M,5,FALSE),VLOOKUP(L47,A:M,3,FALSE))))</f>
        <v>D0008</v>
      </c>
      <c r="O48" s="232" t="str">
        <f>IF(N48&lt;&gt;"",CONCATENATE(VLOOKUP(N48,'[1]zawodnicy'!$A:$E,2,FALSE)," ",VLOOKUP(N48,'[1]zawodnicy'!$A:$E,3,FALSE)," - ",VLOOKUP(N48,'[1]zawodnicy'!$A:$E,4,FALSE)),"")</f>
        <v>Patrycja DOMAŃSKA - Rzeszów</v>
      </c>
      <c r="P48" s="233">
        <v>92</v>
      </c>
      <c r="Q48" s="96" t="str">
        <f>IF(G48="","",VLOOKUP(G48,'[1]zawodnicy'!$A:$D,3,FALSE))</f>
        <v>DOMAŃSKA</v>
      </c>
      <c r="R48" s="101"/>
      <c r="S48" s="101"/>
      <c r="T48" s="101"/>
    </row>
    <row r="49" spans="12:20" ht="15">
      <c r="L49" s="118">
        <v>90</v>
      </c>
      <c r="N49" s="228" t="str">
        <f>IF(L49="","",IF(LEN(VLOOKUP(L49,A:J,6,FALSE))=0,"",IF(VLOOKUP(L49,A:J,6,FALSE)=VLOOKUP(L49,A:M,2,FALSE),VLOOKUP(L49,A:M,4,FALSE),VLOOKUP(L49,A:M,2,FALSE))))</f>
        <v>J0001</v>
      </c>
      <c r="O49" s="229" t="str">
        <f>IF(N49&lt;&gt;"",CONCATENATE(VLOOKUP(N49,'[1]zawodnicy'!$A:$E,2,FALSE)," ",VLOOKUP(N49,'[1]zawodnicy'!$A:$E,3,FALSE)," - ",VLOOKUP(N49,'[1]zawodnicy'!$A:$E,4,FALSE)),"")</f>
        <v>Mateusz JĘDRZEJKO - Rzeszów</v>
      </c>
      <c r="P49" s="234"/>
      <c r="Q49" s="97" t="str">
        <f>IF(H48="",I48,H48)</f>
        <v>21:3,21:10</v>
      </c>
      <c r="R49" s="101"/>
      <c r="S49" s="101"/>
      <c r="T49" s="101"/>
    </row>
    <row r="50" spans="1:20" ht="15">
      <c r="A50" s="245"/>
      <c r="B50" s="9"/>
      <c r="C50" s="9"/>
      <c r="D50" s="9"/>
      <c r="E50" s="9"/>
      <c r="F50" s="9"/>
      <c r="G50" s="9"/>
      <c r="H50" s="9"/>
      <c r="I50" s="9"/>
      <c r="J50" s="9"/>
      <c r="L50" s="250"/>
      <c r="N50" s="231" t="str">
        <f>IF(L49="","",IF(LEN(VLOOKUP(L49,A:J,7,FALSE))=0,"",IF(VLOOKUP(L49,A:J,7,FALSE)=VLOOKUP(L49,A:M,3,FALSE),VLOOKUP(L49,A:M,5,FALSE),VLOOKUP(L49,A:M,3,FALSE))))</f>
        <v>P0021</v>
      </c>
      <c r="O50" s="232" t="str">
        <f>IF(N50&lt;&gt;"",CONCATENATE(VLOOKUP(N50,'[1]zawodnicy'!$A:$E,2,FALSE)," ",VLOOKUP(N50,'[1]zawodnicy'!$A:$E,3,FALSE)," - ",VLOOKUP(N50,'[1]zawodnicy'!$A:$E,4,FALSE)),"")</f>
        <v>Mikołaj POLAŃSKI - Rzeszów</v>
      </c>
      <c r="P50" s="246"/>
      <c r="Q50" s="251"/>
      <c r="R50" s="101"/>
      <c r="S50" s="101"/>
      <c r="T50" s="101"/>
    </row>
    <row r="51" ht="12.75"/>
  </sheetData>
  <sheetProtection/>
  <mergeCells count="4">
    <mergeCell ref="M1:U1"/>
    <mergeCell ref="M2:U2"/>
    <mergeCell ref="M4:U4"/>
    <mergeCell ref="N45:P45"/>
  </mergeCells>
  <dataValidations count="1">
    <dataValidation type="list" allowBlank="1" showInputMessage="1" showErrorMessage="1" sqref="L8">
      <formula1>Podw</formula1>
    </dataValidation>
  </dataValidations>
  <printOptions/>
  <pageMargins left="0.7" right="0.7" top="0.75" bottom="0.75" header="0.3" footer="0.3"/>
  <pageSetup orientation="portrait" paperSize="9" scale="5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ORBITEK</cp:lastModifiedBy>
  <dcterms:created xsi:type="dcterms:W3CDTF">2013-04-28T04:33:27Z</dcterms:created>
  <dcterms:modified xsi:type="dcterms:W3CDTF">2013-04-29T09:41:51Z</dcterms:modified>
  <cp:category/>
  <cp:version/>
  <cp:contentType/>
  <cp:contentStatus/>
</cp:coreProperties>
</file>