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680" activeTab="0"/>
  </bookViews>
  <sheets>
    <sheet name="Gry pojedyncze" sheetId="1" r:id="rId1"/>
    <sheet name="Gry podwójne" sheetId="2" r:id="rId2"/>
    <sheet name="Arkusz3" sheetId="3" r:id="rId3"/>
  </sheets>
  <externalReferences>
    <externalReference r:id="rId6"/>
  </externalReferences>
  <definedNames>
    <definedName name="Gry">'[1]dane'!$I$3:$I$7</definedName>
    <definedName name="Podw">'[1]dane'!#REF!</definedName>
    <definedName name="Poj">'[1]dane'!$I$3:$I$7</definedName>
  </definedNames>
  <calcPr fullCalcOnLoad="1"/>
</workbook>
</file>

<file path=xl/comments1.xml><?xml version="1.0" encoding="utf-8"?>
<comments xmlns="http://schemas.openxmlformats.org/spreadsheetml/2006/main">
  <authors>
    <author>Marek Łysakowski</author>
  </authors>
  <commentList>
    <comment ref="O6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21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2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2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33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3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3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45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4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5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5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56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6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6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6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68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7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7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7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7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7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7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83" authorId="0">
      <text>
        <r>
          <rPr>
            <b/>
            <sz val="9"/>
            <rFont val="Tahoma"/>
            <family val="2"/>
          </rPr>
          <t>W celu wypełnienia drabinki po zakończeniu gier w grupach wybierz rodzaj gry</t>
        </r>
      </text>
    </comment>
    <comment ref="Y8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8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AB9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9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9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AB9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10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10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AB10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10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11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20" authorId="0">
      <text>
        <r>
          <rPr>
            <b/>
            <sz val="9"/>
            <rFont val="Tahoma"/>
            <family val="2"/>
          </rPr>
          <t>Wpisz nr meczu półfinałowego z górnej połówki drabinki</t>
        </r>
        <r>
          <rPr>
            <sz val="9"/>
            <rFont val="Tahoma"/>
            <family val="2"/>
          </rPr>
          <t xml:space="preserve">
</t>
        </r>
      </text>
    </comment>
    <comment ref="V12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21" authorId="0">
      <text>
        <r>
          <rPr>
            <b/>
            <sz val="9"/>
            <rFont val="Tahoma"/>
            <family val="2"/>
          </rPr>
          <t>Wpisz nr meczu półfinałowego z dolnej połówki drabinki</t>
        </r>
      </text>
    </comment>
    <comment ref="S13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3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3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3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4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5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63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6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6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6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7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7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7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78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8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8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8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O190" authorId="0">
      <text>
        <r>
          <rPr>
            <b/>
            <sz val="10"/>
            <rFont val="Times New Roman CE"/>
            <family val="1"/>
          </rPr>
          <t>Wpisz nr grupy.</t>
        </r>
        <r>
          <rPr>
            <sz val="8"/>
            <rFont val="Tahoma"/>
            <family val="2"/>
          </rPr>
          <t xml:space="preserve">
</t>
        </r>
      </text>
    </comment>
    <comment ref="S19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9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S19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03" authorId="0">
      <text>
        <r>
          <rPr>
            <b/>
            <sz val="9"/>
            <rFont val="Tahoma"/>
            <family val="2"/>
          </rPr>
          <t>W celu wypełnienia drabinki po zakończeniu gier w grupach wybierz rodzaj gry</t>
        </r>
      </text>
    </comment>
    <comment ref="Y20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20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AB21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V21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Y21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25" authorId="0">
      <text>
        <r>
          <rPr>
            <b/>
            <sz val="9"/>
            <rFont val="Tahoma"/>
            <family val="2"/>
          </rPr>
          <t>Wpisz nr meczu półfinałowego z górnej połówki drabinki</t>
        </r>
        <r>
          <rPr>
            <sz val="9"/>
            <rFont val="Tahoma"/>
            <family val="2"/>
          </rPr>
          <t xml:space="preserve">
</t>
        </r>
      </text>
    </comment>
    <comment ref="V22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26" authorId="0">
      <text>
        <r>
          <rPr>
            <b/>
            <sz val="9"/>
            <rFont val="Tahoma"/>
            <family val="2"/>
          </rPr>
          <t>Wpisz nr meczu półfinałowego z dolnej połówki drabinki</t>
        </r>
      </text>
    </comment>
  </commentList>
</comments>
</file>

<file path=xl/comments2.xml><?xml version="1.0" encoding="utf-8"?>
<comments xmlns="http://schemas.openxmlformats.org/spreadsheetml/2006/main">
  <authors>
    <author>Marek Łysakowski</author>
  </authors>
  <commentList>
    <comment ref="L7" authorId="0">
      <text>
        <r>
          <rPr>
            <b/>
            <sz val="9"/>
            <rFont val="Tahoma"/>
            <family val="2"/>
          </rPr>
          <t>Dla systemu grupowo-pucharowego wpisz miejsce w grupie.</t>
        </r>
        <r>
          <rPr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10"/>
            <rFont val="Times New Roman CE"/>
            <family val="1"/>
          </rPr>
          <t>Dla systemu pucharowego wpisz ilość par.
Dla systemu grupowo-pucharowego wpisz ilość grup.</t>
        </r>
      </text>
    </comment>
    <comment ref="P11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Q13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R17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Q21" authorId="0">
      <text>
        <r>
          <rPr>
            <b/>
            <sz val="10"/>
            <rFont val="Times New Roman"/>
            <family val="1"/>
          </rPr>
          <t>wpisz nr gry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L30" authorId="0">
      <text>
        <r>
          <rPr>
            <b/>
            <sz val="9"/>
            <rFont val="Tahoma"/>
            <family val="2"/>
          </rPr>
          <t>Wpisz nr meczu półfinałowego z gónej połówki drabinki</t>
        </r>
        <r>
          <rPr>
            <sz val="9"/>
            <rFont val="Tahoma"/>
            <family val="2"/>
          </rPr>
          <t xml:space="preserve">
</t>
        </r>
      </text>
    </comment>
    <comment ref="P31" authorId="0">
      <text>
        <r>
          <rPr>
            <b/>
            <sz val="10"/>
            <rFont val="Times New Roman CE"/>
            <family val="1"/>
          </rPr>
          <t>Wpisz nr gry</t>
        </r>
      </text>
    </comment>
    <comment ref="L32" authorId="0">
      <text>
        <r>
          <rPr>
            <b/>
            <sz val="9"/>
            <rFont val="Tahoma"/>
            <family val="2"/>
          </rPr>
          <t>Wpisz nr meczu półfinałowego z dolnej połówki drabinki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<sst xmlns="http://schemas.openxmlformats.org/spreadsheetml/2006/main" count="413" uniqueCount="77">
  <si>
    <t>Runners Up</t>
  </si>
  <si>
    <t>Lp</t>
  </si>
  <si>
    <t>Zawodnik</t>
  </si>
  <si>
    <t>Punkty</t>
  </si>
  <si>
    <t>Sety</t>
  </si>
  <si>
    <t>Mecze</t>
  </si>
  <si>
    <t>Miejsce</t>
  </si>
  <si>
    <t>Z planu gier</t>
  </si>
  <si>
    <t>Do obliczeń</t>
  </si>
  <si>
    <t>Kolejność
gier</t>
  </si>
  <si>
    <t>Nr
gry</t>
  </si>
  <si>
    <t>R0003</t>
  </si>
  <si>
    <t>1 set</t>
  </si>
  <si>
    <t>2 set</t>
  </si>
  <si>
    <t>3 set</t>
  </si>
  <si>
    <t>1-3</t>
  </si>
  <si>
    <t>W0009</t>
  </si>
  <si>
    <t>2-4</t>
  </si>
  <si>
    <t>1-4</t>
  </si>
  <si>
    <t>2-3</t>
  </si>
  <si>
    <t>P0003</t>
  </si>
  <si>
    <t>3-4</t>
  </si>
  <si>
    <t>1-2</t>
  </si>
  <si>
    <t>G0002</t>
  </si>
  <si>
    <t>K0029</t>
  </si>
  <si>
    <t>R0010</t>
  </si>
  <si>
    <t>M0008</t>
  </si>
  <si>
    <t>N0002</t>
  </si>
  <si>
    <t>B0006</t>
  </si>
  <si>
    <t>K0034</t>
  </si>
  <si>
    <t>R0008</t>
  </si>
  <si>
    <t>K0033</t>
  </si>
  <si>
    <t>G0011</t>
  </si>
  <si>
    <t>D0003</t>
  </si>
  <si>
    <t>M0012</t>
  </si>
  <si>
    <t>W0010</t>
  </si>
  <si>
    <t>B0009</t>
  </si>
  <si>
    <t>P0019</t>
  </si>
  <si>
    <t>M0019</t>
  </si>
  <si>
    <t>K0014</t>
  </si>
  <si>
    <t>Mecze o miejsca I-XII</t>
  </si>
  <si>
    <t>1. z gr. 1</t>
  </si>
  <si>
    <t>1. z gr. 3</t>
  </si>
  <si>
    <t>2. z gr. 6</t>
  </si>
  <si>
    <t>1. z gr. 2</t>
  </si>
  <si>
    <t>2. z gr. 5</t>
  </si>
  <si>
    <t>2. z gr. 4</t>
  </si>
  <si>
    <t>2. z gr. 3</t>
  </si>
  <si>
    <t>2. z gr. 2</t>
  </si>
  <si>
    <t>1. z gr. 5</t>
  </si>
  <si>
    <t>2. z gr. 1</t>
  </si>
  <si>
    <t>1. z gr. 4</t>
  </si>
  <si>
    <t>1. z gr. 6</t>
  </si>
  <si>
    <t>Mecz o III miejsce</t>
  </si>
  <si>
    <t>4.</t>
  </si>
  <si>
    <t>3.</t>
  </si>
  <si>
    <t>o 3 miejsce</t>
  </si>
  <si>
    <t>Old Boys</t>
  </si>
  <si>
    <t>2-5</t>
  </si>
  <si>
    <t>4-5</t>
  </si>
  <si>
    <t>K0003</t>
  </si>
  <si>
    <t>4-2</t>
  </si>
  <si>
    <t>5-1</t>
  </si>
  <si>
    <t>4-1</t>
  </si>
  <si>
    <t>K0007</t>
  </si>
  <si>
    <t>5-3</t>
  </si>
  <si>
    <t>M0009</t>
  </si>
  <si>
    <t>Kobiet</t>
  </si>
  <si>
    <t>D0007</t>
  </si>
  <si>
    <t>K0031</t>
  </si>
  <si>
    <t>Open</t>
  </si>
  <si>
    <t>I0002</t>
  </si>
  <si>
    <t>Ś0002</t>
  </si>
  <si>
    <t xml:space="preserve">  </t>
  </si>
  <si>
    <t>Gra</t>
  </si>
  <si>
    <t>Gra podwójna</t>
  </si>
  <si>
    <t>mecz o III miejsce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</si>
</sst>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000"/>
    <numFmt numFmtId="166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0"/>
      <color indexed="10"/>
      <name val="Times New Roman CE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8"/>
      <name val="Tahoma"/>
      <family val="2"/>
    </font>
    <font>
      <b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4" fontId="0" fillId="0" borderId="0" xfId="0" applyNumberFormat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vertical="center"/>
      <protection locked="0"/>
    </xf>
    <xf numFmtId="0" fontId="0" fillId="36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34" borderId="18" xfId="0" applyFill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37" borderId="36" xfId="0" applyFill="1" applyBorder="1" applyAlignment="1" applyProtection="1">
      <alignment horizontal="center" vertical="center"/>
      <protection/>
    </xf>
    <xf numFmtId="0" fontId="0" fillId="37" borderId="37" xfId="0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2" fillId="35" borderId="23" xfId="0" applyFont="1" applyFill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37" borderId="43" xfId="0" applyFill="1" applyBorder="1" applyAlignment="1" applyProtection="1">
      <alignment horizontal="center" vertical="center"/>
      <protection/>
    </xf>
    <xf numFmtId="0" fontId="0" fillId="37" borderId="44" xfId="0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vertical="center"/>
      <protection/>
    </xf>
    <xf numFmtId="0" fontId="2" fillId="35" borderId="48" xfId="0" applyFont="1" applyFill="1" applyBorder="1" applyAlignment="1" applyProtection="1">
      <alignment vertical="center"/>
      <protection/>
    </xf>
    <xf numFmtId="0" fontId="2" fillId="0" borderId="0" xfId="0" applyFont="1" applyAlignment="1" applyProtection="1" quotePrefix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35" borderId="49" xfId="0" applyFont="1" applyFill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35" borderId="50" xfId="0" applyFont="1" applyFill="1" applyBorder="1" applyAlignment="1" applyProtection="1">
      <alignment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2" fillId="35" borderId="53" xfId="0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0" fillId="35" borderId="25" xfId="0" applyFill="1" applyBorder="1" applyAlignment="1" applyProtection="1">
      <alignment vertical="center"/>
      <protection/>
    </xf>
    <xf numFmtId="0" fontId="0" fillId="35" borderId="26" xfId="0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37" borderId="56" xfId="0" applyFill="1" applyBorder="1" applyAlignment="1" applyProtection="1">
      <alignment vertical="center"/>
      <protection/>
    </xf>
    <xf numFmtId="0" fontId="0" fillId="37" borderId="28" xfId="0" applyFill="1" applyBorder="1" applyAlignment="1" applyProtection="1">
      <alignment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35" borderId="33" xfId="0" applyFill="1" applyBorder="1" applyAlignment="1" applyProtection="1">
      <alignment vertical="center"/>
      <protection/>
    </xf>
    <xf numFmtId="0" fontId="0" fillId="35" borderId="34" xfId="0" applyFill="1" applyBorder="1" applyAlignment="1" applyProtection="1">
      <alignment vertical="center"/>
      <protection/>
    </xf>
    <xf numFmtId="0" fontId="0" fillId="37" borderId="36" xfId="0" applyFill="1" applyBorder="1" applyAlignment="1" applyProtection="1">
      <alignment vertical="center"/>
      <protection/>
    </xf>
    <xf numFmtId="0" fontId="0" fillId="37" borderId="37" xfId="0" applyFill="1" applyBorder="1" applyAlignment="1" applyProtection="1">
      <alignment vertical="center"/>
      <protection/>
    </xf>
    <xf numFmtId="49" fontId="2" fillId="0" borderId="0" xfId="0" applyNumberFormat="1" applyFont="1" applyAlignment="1" applyProtection="1" quotePrefix="1">
      <alignment horizontal="center" vertical="center"/>
      <protection/>
    </xf>
    <xf numFmtId="0" fontId="0" fillId="35" borderId="45" xfId="0" applyFill="1" applyBorder="1" applyAlignment="1" applyProtection="1">
      <alignment vertical="center"/>
      <protection/>
    </xf>
    <xf numFmtId="0" fontId="0" fillId="35" borderId="42" xfId="0" applyFill="1" applyBorder="1" applyAlignment="1" applyProtection="1">
      <alignment vertical="center"/>
      <protection/>
    </xf>
    <xf numFmtId="0" fontId="0" fillId="37" borderId="43" xfId="0" applyFill="1" applyBorder="1" applyAlignment="1" applyProtection="1">
      <alignment vertical="center"/>
      <protection/>
    </xf>
    <xf numFmtId="0" fontId="0" fillId="37" borderId="58" xfId="0" applyFill="1" applyBorder="1" applyAlignment="1" applyProtection="1">
      <alignment vertical="center"/>
      <protection/>
    </xf>
    <xf numFmtId="0" fontId="2" fillId="35" borderId="24" xfId="0" applyFont="1" applyFill="1" applyBorder="1" applyAlignment="1" applyProtection="1">
      <alignment vertical="center"/>
      <protection/>
    </xf>
    <xf numFmtId="0" fontId="2" fillId="35" borderId="16" xfId="0" applyFont="1" applyFill="1" applyBorder="1" applyAlignment="1" applyProtection="1">
      <alignment vertical="center"/>
      <protection/>
    </xf>
    <xf numFmtId="0" fontId="0" fillId="33" borderId="34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38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59" xfId="0" applyFont="1" applyBorder="1" applyAlignment="1" applyProtection="1">
      <alignment vertical="center"/>
      <protection locked="0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left"/>
    </xf>
    <xf numFmtId="0" fontId="2" fillId="0" borderId="37" xfId="0" applyFont="1" applyBorder="1" applyAlignment="1" applyProtection="1">
      <alignment vertical="center"/>
      <protection locked="0"/>
    </xf>
    <xf numFmtId="0" fontId="0" fillId="0" borderId="59" xfId="0" applyBorder="1" applyAlignment="1">
      <alignment vertical="center"/>
    </xf>
    <xf numFmtId="0" fontId="2" fillId="0" borderId="37" xfId="0" applyFont="1" applyBorder="1" applyAlignment="1">
      <alignment horizontal="right"/>
    </xf>
    <xf numFmtId="0" fontId="2" fillId="39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22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22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36" borderId="0" xfId="0" applyFill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0" fillId="34" borderId="34" xfId="0" applyFill="1" applyBorder="1" applyAlignment="1">
      <alignment horizontal="right" vertical="center"/>
    </xf>
    <xf numFmtId="0" fontId="0" fillId="0" borderId="61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62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51" xfId="0" applyFont="1" applyBorder="1" applyAlignment="1" applyProtection="1">
      <alignment horizontal="centerContinuous" vertical="center"/>
      <protection/>
    </xf>
    <xf numFmtId="0" fontId="2" fillId="0" borderId="54" xfId="0" applyNumberFormat="1" applyFont="1" applyFill="1" applyBorder="1" applyAlignment="1" applyProtection="1">
      <alignment horizontal="center" vertical="center" wrapText="1"/>
      <protection/>
    </xf>
    <xf numFmtId="0" fontId="2" fillId="0" borderId="5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 quotePrefix="1">
      <alignment horizontal="right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 quotePrefix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35" borderId="25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2" xfId="0" applyBorder="1" applyAlignment="1" applyProtection="1">
      <alignment horizontal="center"/>
      <protection/>
    </xf>
    <xf numFmtId="165" fontId="6" fillId="0" borderId="0" xfId="0" applyNumberFormat="1" applyFont="1" applyFill="1" applyBorder="1" applyAlignment="1" applyProtection="1">
      <alignment vertical="center"/>
      <protection/>
    </xf>
    <xf numFmtId="166" fontId="0" fillId="0" borderId="0" xfId="0" applyNumberFormat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35" borderId="33" xfId="0" applyFill="1" applyBorder="1" applyAlignment="1" applyProtection="1">
      <alignment/>
      <protection/>
    </xf>
    <xf numFmtId="0" fontId="0" fillId="35" borderId="34" xfId="0" applyFill="1" applyBorder="1" applyAlignment="1" applyProtection="1">
      <alignment/>
      <protection/>
    </xf>
    <xf numFmtId="0" fontId="0" fillId="37" borderId="36" xfId="0" applyFill="1" applyBorder="1" applyAlignment="1" applyProtection="1">
      <alignment horizontal="center"/>
      <protection/>
    </xf>
    <xf numFmtId="0" fontId="0" fillId="37" borderId="37" xfId="0" applyFill="1" applyBorder="1" applyAlignment="1" applyProtection="1">
      <alignment horizontal="center"/>
      <protection/>
    </xf>
    <xf numFmtId="0" fontId="0" fillId="0" borderId="37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8" xfId="0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37" borderId="43" xfId="0" applyFill="1" applyBorder="1" applyAlignment="1" applyProtection="1">
      <alignment horizontal="center"/>
      <protection/>
    </xf>
    <xf numFmtId="0" fontId="0" fillId="37" borderId="44" xfId="0" applyFill="1" applyBorder="1" applyAlignment="1" applyProtection="1">
      <alignment horizontal="center"/>
      <protection/>
    </xf>
    <xf numFmtId="0" fontId="0" fillId="0" borderId="45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37" borderId="58" xfId="0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64" xfId="0" applyBorder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0" fontId="0" fillId="0" borderId="46" xfId="0" applyBorder="1" applyAlignment="1" applyProtection="1">
      <alignment/>
      <protection/>
    </xf>
    <xf numFmtId="0" fontId="0" fillId="35" borderId="45" xfId="0" applyFill="1" applyBorder="1" applyAlignment="1" applyProtection="1">
      <alignment/>
      <protection/>
    </xf>
    <xf numFmtId="0" fontId="0" fillId="35" borderId="42" xfId="0" applyFill="1" applyBorder="1" applyAlignment="1" applyProtection="1">
      <alignment/>
      <protection/>
    </xf>
    <xf numFmtId="0" fontId="2" fillId="0" borderId="0" xfId="0" applyFont="1" applyBorder="1" applyAlignment="1" applyProtection="1" quotePrefix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 locked="0"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34" borderId="66" xfId="0" applyFill="1" applyBorder="1" applyAlignment="1">
      <alignment horizontal="right"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0" fillId="34" borderId="19" xfId="0" applyFill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1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8" xfId="0" applyFont="1" applyBorder="1" applyAlignment="1">
      <alignment vertical="center"/>
    </xf>
    <xf numFmtId="0" fontId="0" fillId="36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60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2" fillId="0" borderId="6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0" fillId="37" borderId="56" xfId="0" applyFill="1" applyBorder="1" applyAlignment="1" applyProtection="1">
      <alignment horizontal="center" vertical="center"/>
      <protection/>
    </xf>
    <xf numFmtId="0" fontId="0" fillId="37" borderId="28" xfId="0" applyFill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70" xfId="0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72" xfId="0" applyFont="1" applyFill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73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" fillId="0" borderId="63" xfId="0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3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6" xfId="0" applyFont="1" applyFill="1" applyBorder="1" applyAlignment="1" applyProtection="1">
      <alignment horizontal="center" vertical="center"/>
      <protection/>
    </xf>
    <xf numFmtId="0" fontId="2" fillId="35" borderId="53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77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2" fillId="35" borderId="39" xfId="0" applyNumberFormat="1" applyFont="1" applyFill="1" applyBorder="1" applyAlignment="1" applyProtection="1">
      <alignment horizontal="center" vertical="center" wrapText="1"/>
      <protection/>
    </xf>
    <xf numFmtId="0" fontId="2" fillId="35" borderId="61" xfId="0" applyNumberFormat="1" applyFont="1" applyFill="1" applyBorder="1" applyAlignment="1" applyProtection="1">
      <alignment horizontal="center" vertical="center" wrapText="1"/>
      <protection/>
    </xf>
    <xf numFmtId="0" fontId="2" fillId="35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0" fillId="0" borderId="78" xfId="0" applyBorder="1" applyAlignment="1" applyProtection="1">
      <alignment horizontal="center"/>
      <protection/>
    </xf>
    <xf numFmtId="0" fontId="0" fillId="0" borderId="77" xfId="0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/>
    </xf>
    <xf numFmtId="0" fontId="0" fillId="0" borderId="71" xfId="0" applyBorder="1" applyAlignment="1" applyProtection="1">
      <alignment horizontal="center"/>
      <protection/>
    </xf>
    <xf numFmtId="0" fontId="0" fillId="37" borderId="56" xfId="0" applyFill="1" applyBorder="1" applyAlignment="1" applyProtection="1">
      <alignment horizontal="center"/>
      <protection/>
    </xf>
    <xf numFmtId="0" fontId="0" fillId="37" borderId="28" xfId="0" applyFill="1" applyBorder="1" applyAlignment="1" applyProtection="1">
      <alignment horizontal="center"/>
      <protection/>
    </xf>
    <xf numFmtId="0" fontId="2" fillId="35" borderId="24" xfId="0" applyNumberFormat="1" applyFont="1" applyFill="1" applyBorder="1" applyAlignment="1" applyProtection="1">
      <alignment horizontal="center" vertical="center" wrapText="1"/>
      <protection/>
    </xf>
    <xf numFmtId="0" fontId="2" fillId="35" borderId="16" xfId="0" applyNumberFormat="1" applyFont="1" applyFill="1" applyBorder="1" applyAlignment="1" applyProtection="1">
      <alignment horizontal="center" vertical="center" wrapText="1"/>
      <protection/>
    </xf>
    <xf numFmtId="0" fontId="2" fillId="35" borderId="50" xfId="0" applyNumberFormat="1" applyFont="1" applyFill="1" applyBorder="1" applyAlignment="1" applyProtection="1">
      <alignment horizontal="center" vertical="center" wrapText="1"/>
      <protection/>
    </xf>
    <xf numFmtId="0" fontId="2" fillId="0" borderId="7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8%20GP%20Victora%20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gry"/>
      <sheetName val="plan gier"/>
      <sheetName val="grup-puch"/>
      <sheetName val="puch"/>
      <sheetName val="tabelki"/>
      <sheetName val="drabinki"/>
      <sheetName val="sędziowie"/>
      <sheetName val="zawodnic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Moduł1"/>
      <sheetName val="Moduł2"/>
    </sheetNames>
    <sheetDataSet>
      <sheetData sheetId="0">
        <row r="2">
          <cell r="D2" t="str">
            <v>Grand Prix Victora</v>
          </cell>
        </row>
        <row r="3">
          <cell r="D3" t="str">
            <v>Mielec,  13.11.2011 r.</v>
          </cell>
          <cell r="I3" t="str">
            <v>Runners Up</v>
          </cell>
        </row>
        <row r="4">
          <cell r="I4" t="str">
            <v>Old Boys</v>
          </cell>
        </row>
        <row r="5">
          <cell r="I5" t="str">
            <v>Kobiet</v>
          </cell>
        </row>
        <row r="6">
          <cell r="I6" t="str">
            <v>Open</v>
          </cell>
        </row>
        <row r="7">
          <cell r="I7" t="str">
            <v>Gra podwójna</v>
          </cell>
        </row>
      </sheetData>
      <sheetData sheetId="2">
        <row r="1">
          <cell r="C1" t="str">
            <v>Boisko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 t="str">
            <v>Nr gry</v>
          </cell>
        </row>
        <row r="2">
          <cell r="A2" t="str">
            <v>Nr </v>
          </cell>
          <cell r="D2" t="str">
            <v>Drukowanie prorokółów</v>
          </cell>
          <cell r="N2">
            <v>1</v>
          </cell>
          <cell r="X2" t="str">
            <v>*</v>
          </cell>
        </row>
        <row r="3">
          <cell r="A3" t="str">
            <v>meczu</v>
          </cell>
          <cell r="S3">
            <v>40860</v>
          </cell>
          <cell r="X3" t="str">
            <v>nr gry</v>
          </cell>
          <cell r="Z3" t="str">
            <v>zawodnicy</v>
          </cell>
          <cell r="AD3" t="str">
            <v>awans</v>
          </cell>
          <cell r="AF3" t="str">
            <v>rezultat</v>
          </cell>
          <cell r="AI3" t="str">
            <v>1 set</v>
          </cell>
          <cell r="AK3" t="str">
            <v>2 set</v>
          </cell>
          <cell r="AM3" t="str">
            <v>3 set</v>
          </cell>
        </row>
        <row r="4">
          <cell r="B4">
            <v>1</v>
          </cell>
          <cell r="C4" t="str">
            <v>dzień turnieju.</v>
          </cell>
          <cell r="I4" t="str">
            <v>Nr meczu</v>
          </cell>
          <cell r="N4" t="str">
            <v>Godz.</v>
          </cell>
          <cell r="R4" t="str">
            <v>S. prow.</v>
          </cell>
          <cell r="AF4" t="str">
            <v>wygrany</v>
          </cell>
          <cell r="AG4" t="str">
            <v>przegrany</v>
          </cell>
        </row>
        <row r="5">
          <cell r="B5" t="str">
            <v>Boisko</v>
          </cell>
          <cell r="C5" t="str">
            <v>Gra</v>
          </cell>
          <cell r="I5">
            <v>1</v>
          </cell>
          <cell r="N5" t="str">
            <v>rozp.</v>
          </cell>
          <cell r="P5" t="str">
            <v>zak.</v>
          </cell>
          <cell r="R5" t="str">
            <v>S. serw.</v>
          </cell>
        </row>
        <row r="6">
          <cell r="A6">
            <v>1</v>
          </cell>
          <cell r="C6" t="str">
            <v>Runners Up</v>
          </cell>
          <cell r="H6">
            <v>16</v>
          </cell>
          <cell r="I6">
            <v>21</v>
          </cell>
          <cell r="J6">
            <v>7</v>
          </cell>
          <cell r="K6">
            <v>21</v>
          </cell>
          <cell r="R6">
            <v>0</v>
          </cell>
          <cell r="S6" t="str">
            <v>godz.9:00</v>
          </cell>
          <cell r="X6">
            <v>1</v>
          </cell>
          <cell r="Y6" t="str">
            <v>Runners Up</v>
          </cell>
          <cell r="Z6" t="str">
            <v>R0003</v>
          </cell>
          <cell r="AA6" t="str">
            <v/>
          </cell>
          <cell r="AB6" t="str">
            <v>P0003</v>
          </cell>
          <cell r="AC6" t="str">
            <v/>
          </cell>
          <cell r="AD6" t="str">
            <v>P0003</v>
          </cell>
          <cell r="AE6" t="str">
            <v/>
          </cell>
          <cell r="AF6" t="str">
            <v>21:16,21:7</v>
          </cell>
          <cell r="AG6" t="str">
            <v>16:21,7:21</v>
          </cell>
          <cell r="AH6" t="str">
            <v/>
          </cell>
          <cell r="AI6">
            <v>16</v>
          </cell>
          <cell r="AJ6">
            <v>21</v>
          </cell>
          <cell r="AK6">
            <v>7</v>
          </cell>
          <cell r="AL6">
            <v>21</v>
          </cell>
          <cell r="AM6">
            <v>0</v>
          </cell>
          <cell r="AN6">
            <v>0</v>
          </cell>
        </row>
        <row r="7">
          <cell r="A7" t="str">
            <v/>
          </cell>
          <cell r="B7" t="str">
            <v>Dawid RZĄSA (Nowa Dęba)</v>
          </cell>
          <cell r="H7" t="str">
            <v>R0003</v>
          </cell>
          <cell r="K7" t="str">
            <v>P0003</v>
          </cell>
          <cell r="N7" t="str">
            <v>Łukasz PIENIĄŻEK (Rzeszów)</v>
          </cell>
        </row>
        <row r="8">
          <cell r="A8" t="str">
            <v/>
          </cell>
          <cell r="B8" t="str">
            <v/>
          </cell>
          <cell r="H8" t="str">
            <v/>
          </cell>
          <cell r="K8" t="str">
            <v/>
          </cell>
          <cell r="N8" t="str">
            <v/>
          </cell>
        </row>
        <row r="10">
          <cell r="B10" t="str">
            <v/>
          </cell>
          <cell r="K10" t="str">
            <v>zwycięzca(cy): 21:16,21:7</v>
          </cell>
        </row>
        <row r="11">
          <cell r="B11">
            <v>2</v>
          </cell>
          <cell r="C11" t="str">
            <v>dzień turnieju.</v>
          </cell>
          <cell r="I11" t="str">
            <v>Nr meczu</v>
          </cell>
          <cell r="N11" t="str">
            <v>Godz.</v>
          </cell>
          <cell r="R11" t="str">
            <v>S. prow.</v>
          </cell>
          <cell r="AF11" t="str">
            <v>wygrany</v>
          </cell>
          <cell r="AG11" t="str">
            <v>przegrany</v>
          </cell>
        </row>
        <row r="12">
          <cell r="B12" t="str">
            <v>Boisko</v>
          </cell>
          <cell r="C12" t="str">
            <v>Gra</v>
          </cell>
          <cell r="I12">
            <v>2</v>
          </cell>
          <cell r="N12" t="str">
            <v>rozp.</v>
          </cell>
          <cell r="P12" t="str">
            <v>zak.</v>
          </cell>
          <cell r="R12" t="str">
            <v>S. serw.</v>
          </cell>
        </row>
        <row r="13">
          <cell r="A13">
            <v>2</v>
          </cell>
          <cell r="C13" t="str">
            <v>Runners Up</v>
          </cell>
          <cell r="H13">
            <v>10</v>
          </cell>
          <cell r="I13">
            <v>21</v>
          </cell>
          <cell r="J13">
            <v>10</v>
          </cell>
          <cell r="K13">
            <v>21</v>
          </cell>
          <cell r="R13">
            <v>0</v>
          </cell>
          <cell r="S13" t="str">
            <v>godz.9:00</v>
          </cell>
          <cell r="X13">
            <v>2</v>
          </cell>
          <cell r="Y13" t="str">
            <v>Runners Up</v>
          </cell>
          <cell r="Z13" t="str">
            <v>W0009</v>
          </cell>
          <cell r="AA13" t="str">
            <v/>
          </cell>
          <cell r="AB13" t="str">
            <v>G0002</v>
          </cell>
          <cell r="AC13" t="str">
            <v/>
          </cell>
          <cell r="AD13" t="str">
            <v>G0002</v>
          </cell>
          <cell r="AE13" t="str">
            <v/>
          </cell>
          <cell r="AF13" t="str">
            <v>21:10,21:10</v>
          </cell>
          <cell r="AG13" t="str">
            <v>10:21,10:21</v>
          </cell>
          <cell r="AH13" t="str">
            <v/>
          </cell>
          <cell r="AI13">
            <v>10</v>
          </cell>
          <cell r="AJ13">
            <v>21</v>
          </cell>
          <cell r="AK13">
            <v>10</v>
          </cell>
          <cell r="AL13">
            <v>21</v>
          </cell>
          <cell r="AM13">
            <v>0</v>
          </cell>
          <cell r="AN13">
            <v>0</v>
          </cell>
        </row>
        <row r="14">
          <cell r="A14" t="str">
            <v/>
          </cell>
          <cell r="B14" t="str">
            <v>Karol WESOŁOWSKI (Mielec)</v>
          </cell>
          <cell r="H14" t="str">
            <v>W0009</v>
          </cell>
          <cell r="K14" t="str">
            <v>G0002</v>
          </cell>
          <cell r="N14" t="str">
            <v>Jarosław GÓRSKI (Gorlice)</v>
          </cell>
        </row>
        <row r="15">
          <cell r="A15" t="str">
            <v/>
          </cell>
          <cell r="B15" t="str">
            <v/>
          </cell>
          <cell r="H15" t="str">
            <v/>
          </cell>
          <cell r="K15" t="str">
            <v/>
          </cell>
          <cell r="N15" t="str">
            <v/>
          </cell>
        </row>
        <row r="17">
          <cell r="B17" t="str">
            <v/>
          </cell>
          <cell r="K17" t="str">
            <v>zwycięzca(cy): 21:10,21:10</v>
          </cell>
        </row>
        <row r="18">
          <cell r="B18">
            <v>3</v>
          </cell>
          <cell r="C18" t="str">
            <v>dzień turnieju.</v>
          </cell>
          <cell r="I18" t="str">
            <v>Nr meczu</v>
          </cell>
          <cell r="N18" t="str">
            <v>Godz.</v>
          </cell>
          <cell r="R18" t="str">
            <v>S. prow.</v>
          </cell>
          <cell r="AF18" t="str">
            <v>wygrany</v>
          </cell>
          <cell r="AG18" t="str">
            <v>przegrany</v>
          </cell>
        </row>
        <row r="19">
          <cell r="B19" t="str">
            <v>Boisko</v>
          </cell>
          <cell r="C19" t="str">
            <v>Gra</v>
          </cell>
          <cell r="I19">
            <v>3</v>
          </cell>
          <cell r="N19" t="str">
            <v>rozp.</v>
          </cell>
          <cell r="P19" t="str">
            <v>zak.</v>
          </cell>
          <cell r="R19" t="str">
            <v>S. serw.</v>
          </cell>
        </row>
        <row r="20">
          <cell r="A20">
            <v>3</v>
          </cell>
          <cell r="C20" t="str">
            <v>Runners Up</v>
          </cell>
          <cell r="H20">
            <v>21</v>
          </cell>
          <cell r="I20">
            <v>14</v>
          </cell>
          <cell r="J20">
            <v>17</v>
          </cell>
          <cell r="K20">
            <v>21</v>
          </cell>
          <cell r="L20">
            <v>21</v>
          </cell>
          <cell r="M20">
            <v>15</v>
          </cell>
          <cell r="R20">
            <v>0</v>
          </cell>
          <cell r="S20" t="str">
            <v>godz.9:00</v>
          </cell>
          <cell r="X20">
            <v>3</v>
          </cell>
          <cell r="Y20" t="str">
            <v>Runners Up</v>
          </cell>
          <cell r="Z20" t="str">
            <v>K0029</v>
          </cell>
          <cell r="AA20" t="str">
            <v/>
          </cell>
          <cell r="AB20" t="str">
            <v>M0008</v>
          </cell>
          <cell r="AC20" t="str">
            <v/>
          </cell>
          <cell r="AD20" t="str">
            <v>K0029</v>
          </cell>
          <cell r="AE20" t="str">
            <v/>
          </cell>
          <cell r="AF20" t="str">
            <v>21:14,17:21,21:15</v>
          </cell>
          <cell r="AG20" t="str">
            <v>14:21,21:17,15:21</v>
          </cell>
          <cell r="AH20" t="str">
            <v/>
          </cell>
          <cell r="AI20">
            <v>21</v>
          </cell>
          <cell r="AJ20">
            <v>14</v>
          </cell>
          <cell r="AK20">
            <v>17</v>
          </cell>
          <cell r="AL20">
            <v>21</v>
          </cell>
          <cell r="AM20">
            <v>21</v>
          </cell>
          <cell r="AN20">
            <v>15</v>
          </cell>
        </row>
        <row r="21">
          <cell r="A21" t="str">
            <v/>
          </cell>
          <cell r="B21" t="str">
            <v>Patryk KOPEĆ (Nowa Dęba)</v>
          </cell>
          <cell r="H21" t="str">
            <v>K0029</v>
          </cell>
          <cell r="K21" t="str">
            <v>M0008</v>
          </cell>
          <cell r="N21" t="str">
            <v>Tadeusz MICHALIK (Tarnów)</v>
          </cell>
        </row>
        <row r="22">
          <cell r="A22" t="str">
            <v/>
          </cell>
          <cell r="B22" t="str">
            <v/>
          </cell>
          <cell r="H22" t="str">
            <v/>
          </cell>
          <cell r="K22" t="str">
            <v/>
          </cell>
          <cell r="N22" t="str">
            <v/>
          </cell>
        </row>
        <row r="24">
          <cell r="B24" t="str">
            <v>zwycięzca(cy): 21:14,17:21,21:15</v>
          </cell>
          <cell r="K24" t="str">
            <v/>
          </cell>
        </row>
        <row r="25">
          <cell r="B25">
            <v>4</v>
          </cell>
          <cell r="C25" t="str">
            <v>dzień turnieju.</v>
          </cell>
          <cell r="I25" t="str">
            <v>Nr meczu</v>
          </cell>
          <cell r="N25" t="str">
            <v>Godz.</v>
          </cell>
          <cell r="R25" t="str">
            <v>S. prow.</v>
          </cell>
          <cell r="AF25" t="str">
            <v>wygrany</v>
          </cell>
          <cell r="AG25" t="str">
            <v>przegrany</v>
          </cell>
        </row>
        <row r="26">
          <cell r="B26" t="str">
            <v>Boisko</v>
          </cell>
          <cell r="C26" t="str">
            <v>Gra</v>
          </cell>
          <cell r="I26">
            <v>4</v>
          </cell>
          <cell r="N26" t="str">
            <v>rozp.</v>
          </cell>
          <cell r="P26" t="str">
            <v>zak.</v>
          </cell>
          <cell r="R26" t="str">
            <v>S. serw.</v>
          </cell>
        </row>
        <row r="27">
          <cell r="A27">
            <v>4</v>
          </cell>
          <cell r="C27" t="str">
            <v>Runners Up</v>
          </cell>
          <cell r="H27">
            <v>21</v>
          </cell>
          <cell r="I27">
            <v>18</v>
          </cell>
          <cell r="J27">
            <v>22</v>
          </cell>
          <cell r="K27">
            <v>20</v>
          </cell>
          <cell r="R27">
            <v>0</v>
          </cell>
          <cell r="S27" t="str">
            <v>godz.9:00</v>
          </cell>
          <cell r="X27">
            <v>4</v>
          </cell>
          <cell r="Y27" t="str">
            <v>Runners Up</v>
          </cell>
          <cell r="Z27" t="str">
            <v>N0002</v>
          </cell>
          <cell r="AA27" t="str">
            <v/>
          </cell>
          <cell r="AB27" t="str">
            <v>K0034</v>
          </cell>
          <cell r="AC27" t="str">
            <v/>
          </cell>
          <cell r="AD27" t="str">
            <v>N0002</v>
          </cell>
          <cell r="AE27" t="str">
            <v/>
          </cell>
          <cell r="AF27" t="str">
            <v>21:18,22:20</v>
          </cell>
          <cell r="AG27" t="str">
            <v>18:21,20:22</v>
          </cell>
          <cell r="AH27" t="str">
            <v/>
          </cell>
          <cell r="AI27">
            <v>21</v>
          </cell>
          <cell r="AJ27">
            <v>18</v>
          </cell>
          <cell r="AK27">
            <v>22</v>
          </cell>
          <cell r="AL27">
            <v>20</v>
          </cell>
          <cell r="AM27">
            <v>0</v>
          </cell>
          <cell r="AN27">
            <v>0</v>
          </cell>
        </row>
        <row r="28">
          <cell r="A28" t="str">
            <v/>
          </cell>
          <cell r="B28" t="str">
            <v>Robert NOWAK (Mielec)</v>
          </cell>
          <cell r="H28" t="str">
            <v>N0002</v>
          </cell>
          <cell r="K28" t="str">
            <v>K0034</v>
          </cell>
          <cell r="N28" t="str">
            <v>Marcin KOWALIK (Rzeszów)</v>
          </cell>
        </row>
        <row r="29">
          <cell r="A29" t="str">
            <v/>
          </cell>
          <cell r="B29" t="str">
            <v/>
          </cell>
          <cell r="H29" t="str">
            <v/>
          </cell>
          <cell r="K29" t="str">
            <v/>
          </cell>
          <cell r="N29" t="str">
            <v/>
          </cell>
        </row>
        <row r="31">
          <cell r="B31" t="str">
            <v>zwycięzca(cy): 21:18,22:20</v>
          </cell>
          <cell r="K31" t="str">
            <v/>
          </cell>
        </row>
        <row r="32">
          <cell r="B32">
            <v>5</v>
          </cell>
          <cell r="C32" t="str">
            <v>dzień turnieju.</v>
          </cell>
          <cell r="I32" t="str">
            <v>Nr meczu</v>
          </cell>
          <cell r="N32" t="str">
            <v>Godz.</v>
          </cell>
          <cell r="R32" t="str">
            <v>S. prow.</v>
          </cell>
          <cell r="AF32" t="str">
            <v>wygrany</v>
          </cell>
          <cell r="AG32" t="str">
            <v>przegrany</v>
          </cell>
        </row>
        <row r="33">
          <cell r="B33" t="str">
            <v>Boisko</v>
          </cell>
          <cell r="C33" t="str">
            <v>Gra</v>
          </cell>
          <cell r="I33">
            <v>5</v>
          </cell>
          <cell r="N33" t="str">
            <v>rozp.</v>
          </cell>
          <cell r="P33" t="str">
            <v>zak.</v>
          </cell>
          <cell r="R33" t="str">
            <v>S. serw.</v>
          </cell>
        </row>
        <row r="34">
          <cell r="A34">
            <v>5</v>
          </cell>
          <cell r="C34" t="str">
            <v>Runners Up</v>
          </cell>
          <cell r="H34">
            <v>21</v>
          </cell>
          <cell r="I34">
            <v>6</v>
          </cell>
          <cell r="J34">
            <v>21</v>
          </cell>
          <cell r="K34">
            <v>10</v>
          </cell>
          <cell r="R34">
            <v>0</v>
          </cell>
          <cell r="S34" t="str">
            <v>godz.9:20</v>
          </cell>
          <cell r="X34">
            <v>5</v>
          </cell>
          <cell r="Y34" t="str">
            <v>Runners Up</v>
          </cell>
          <cell r="Z34" t="str">
            <v>R0008</v>
          </cell>
          <cell r="AA34" t="str">
            <v/>
          </cell>
          <cell r="AB34" t="str">
            <v>G0011</v>
          </cell>
          <cell r="AC34" t="str">
            <v/>
          </cell>
          <cell r="AD34" t="str">
            <v>R0008</v>
          </cell>
          <cell r="AE34" t="str">
            <v/>
          </cell>
          <cell r="AF34" t="str">
            <v>21:6,21:10</v>
          </cell>
          <cell r="AG34" t="str">
            <v>6:21,10:21</v>
          </cell>
          <cell r="AH34" t="str">
            <v/>
          </cell>
          <cell r="AI34">
            <v>21</v>
          </cell>
          <cell r="AJ34">
            <v>6</v>
          </cell>
          <cell r="AK34">
            <v>21</v>
          </cell>
          <cell r="AL34">
            <v>10</v>
          </cell>
          <cell r="AM34">
            <v>0</v>
          </cell>
          <cell r="AN34">
            <v>0</v>
          </cell>
        </row>
        <row r="35">
          <cell r="A35" t="str">
            <v/>
          </cell>
          <cell r="B35" t="str">
            <v>Dawid RZESZUTEK (Mielec)</v>
          </cell>
          <cell r="H35" t="str">
            <v>R0008</v>
          </cell>
          <cell r="K35" t="str">
            <v>G0011</v>
          </cell>
          <cell r="N35" t="str">
            <v>Jakub GERCZAK (Rzeszów)</v>
          </cell>
        </row>
        <row r="36">
          <cell r="A36" t="str">
            <v/>
          </cell>
          <cell r="B36" t="str">
            <v/>
          </cell>
          <cell r="H36" t="str">
            <v/>
          </cell>
          <cell r="K36" t="str">
            <v/>
          </cell>
          <cell r="N36" t="str">
            <v/>
          </cell>
        </row>
        <row r="38">
          <cell r="B38" t="str">
            <v>zwycięzca(cy): 21:6,21:10</v>
          </cell>
          <cell r="K38" t="str">
            <v/>
          </cell>
        </row>
        <row r="39">
          <cell r="B39">
            <v>6</v>
          </cell>
          <cell r="C39" t="str">
            <v>dzień turnieju.</v>
          </cell>
          <cell r="I39" t="str">
            <v>Nr meczu</v>
          </cell>
          <cell r="N39" t="str">
            <v>Godz.</v>
          </cell>
          <cell r="R39" t="str">
            <v>S. prow.</v>
          </cell>
          <cell r="AF39" t="str">
            <v>wygrany</v>
          </cell>
          <cell r="AG39" t="str">
            <v>przegrany</v>
          </cell>
        </row>
        <row r="40">
          <cell r="B40" t="str">
            <v>Boisko</v>
          </cell>
          <cell r="C40" t="str">
            <v>Gra</v>
          </cell>
          <cell r="I40">
            <v>6</v>
          </cell>
          <cell r="N40" t="str">
            <v>rozp.</v>
          </cell>
          <cell r="P40" t="str">
            <v>zak.</v>
          </cell>
          <cell r="R40" t="str">
            <v>S. serw.</v>
          </cell>
        </row>
        <row r="41">
          <cell r="A41">
            <v>6</v>
          </cell>
          <cell r="C41" t="str">
            <v>Runners Up</v>
          </cell>
          <cell r="H41">
            <v>0</v>
          </cell>
          <cell r="I41">
            <v>21</v>
          </cell>
          <cell r="J41">
            <v>0</v>
          </cell>
          <cell r="K41">
            <v>21</v>
          </cell>
          <cell r="R41">
            <v>0</v>
          </cell>
          <cell r="S41" t="str">
            <v>godz.9:20</v>
          </cell>
          <cell r="X41">
            <v>6</v>
          </cell>
          <cell r="Y41" t="str">
            <v>Runners Up</v>
          </cell>
          <cell r="Z41" t="str">
            <v>D0003</v>
          </cell>
          <cell r="AA41" t="str">
            <v/>
          </cell>
          <cell r="AB41" t="str">
            <v>W0010</v>
          </cell>
          <cell r="AC41" t="str">
            <v/>
          </cell>
          <cell r="AD41" t="str">
            <v>W0010</v>
          </cell>
          <cell r="AE41" t="str">
            <v/>
          </cell>
          <cell r="AF41" t="str">
            <v>21:0,21:0</v>
          </cell>
          <cell r="AG41" t="str">
            <v>0:21,0:21</v>
          </cell>
          <cell r="AH41" t="str">
            <v/>
          </cell>
          <cell r="AI41">
            <v>0</v>
          </cell>
          <cell r="AJ41">
            <v>21</v>
          </cell>
          <cell r="AK41">
            <v>0</v>
          </cell>
          <cell r="AL41">
            <v>21</v>
          </cell>
          <cell r="AM41">
            <v>0</v>
          </cell>
          <cell r="AN41">
            <v>0</v>
          </cell>
        </row>
        <row r="42">
          <cell r="A42" t="str">
            <v/>
          </cell>
          <cell r="B42" t="str">
            <v>Łukasz DYCHA (Nowa Dęba)</v>
          </cell>
          <cell r="H42" t="str">
            <v>D0003</v>
          </cell>
          <cell r="K42" t="str">
            <v>W0010</v>
          </cell>
          <cell r="N42" t="str">
            <v>Dariusz WALAS (Rzeszów)</v>
          </cell>
        </row>
        <row r="43">
          <cell r="A43" t="str">
            <v/>
          </cell>
          <cell r="B43" t="str">
            <v/>
          </cell>
          <cell r="H43" t="str">
            <v/>
          </cell>
          <cell r="K43" t="str">
            <v/>
          </cell>
          <cell r="N43" t="str">
            <v/>
          </cell>
        </row>
        <row r="45">
          <cell r="B45" t="str">
            <v/>
          </cell>
          <cell r="K45" t="str">
            <v>zwycięzca(cy): 21:0,21:0</v>
          </cell>
        </row>
        <row r="46">
          <cell r="B46">
            <v>7</v>
          </cell>
          <cell r="C46" t="str">
            <v>dzień turnieju.</v>
          </cell>
          <cell r="I46" t="str">
            <v>Nr meczu</v>
          </cell>
          <cell r="N46" t="str">
            <v>Godz.</v>
          </cell>
          <cell r="R46" t="str">
            <v>S. prow.</v>
          </cell>
          <cell r="AF46" t="str">
            <v>wygrany</v>
          </cell>
          <cell r="AG46" t="str">
            <v>przegrany</v>
          </cell>
        </row>
        <row r="47">
          <cell r="B47" t="str">
            <v>Boisko</v>
          </cell>
          <cell r="C47" t="str">
            <v>Gra</v>
          </cell>
          <cell r="I47">
            <v>7</v>
          </cell>
          <cell r="N47" t="str">
            <v>rozp.</v>
          </cell>
          <cell r="P47" t="str">
            <v>zak.</v>
          </cell>
          <cell r="R47" t="str">
            <v>S. serw.</v>
          </cell>
        </row>
        <row r="48">
          <cell r="A48">
            <v>7</v>
          </cell>
          <cell r="C48" t="str">
            <v>Runners Up</v>
          </cell>
          <cell r="H48">
            <v>21</v>
          </cell>
          <cell r="I48">
            <v>14</v>
          </cell>
          <cell r="J48">
            <v>21</v>
          </cell>
          <cell r="K48">
            <v>11</v>
          </cell>
          <cell r="R48">
            <v>0</v>
          </cell>
          <cell r="S48" t="str">
            <v>godz.9:20</v>
          </cell>
          <cell r="X48">
            <v>7</v>
          </cell>
          <cell r="Y48" t="str">
            <v>Runners Up</v>
          </cell>
          <cell r="Z48" t="str">
            <v>B0009</v>
          </cell>
          <cell r="AA48" t="str">
            <v/>
          </cell>
          <cell r="AB48" t="str">
            <v>M0019</v>
          </cell>
          <cell r="AC48" t="str">
            <v/>
          </cell>
          <cell r="AD48" t="str">
            <v>B0009</v>
          </cell>
          <cell r="AE48" t="str">
            <v/>
          </cell>
          <cell r="AF48" t="str">
            <v>21:14,21:11</v>
          </cell>
          <cell r="AG48" t="str">
            <v>14:21,11:21</v>
          </cell>
          <cell r="AH48" t="str">
            <v/>
          </cell>
          <cell r="AI48">
            <v>21</v>
          </cell>
          <cell r="AJ48">
            <v>14</v>
          </cell>
          <cell r="AK48">
            <v>21</v>
          </cell>
          <cell r="AL48">
            <v>11</v>
          </cell>
          <cell r="AM48">
            <v>0</v>
          </cell>
          <cell r="AN48">
            <v>0</v>
          </cell>
        </row>
        <row r="49">
          <cell r="A49" t="str">
            <v/>
          </cell>
          <cell r="B49" t="str">
            <v>Adam BUNIO (Nowa Dęba)</v>
          </cell>
          <cell r="H49" t="str">
            <v>B0009</v>
          </cell>
          <cell r="K49" t="str">
            <v>M0019</v>
          </cell>
          <cell r="N49" t="str">
            <v>Grzegorz MAC  (Rzeszów)</v>
          </cell>
        </row>
        <row r="50">
          <cell r="A50" t="str">
            <v/>
          </cell>
          <cell r="B50" t="str">
            <v/>
          </cell>
          <cell r="H50" t="str">
            <v/>
          </cell>
          <cell r="K50" t="str">
            <v/>
          </cell>
          <cell r="N50" t="str">
            <v/>
          </cell>
        </row>
        <row r="52">
          <cell r="B52" t="str">
            <v>zwycięzca(cy): 21:14,21:11</v>
          </cell>
          <cell r="K52" t="str">
            <v/>
          </cell>
        </row>
        <row r="53">
          <cell r="B53">
            <v>8</v>
          </cell>
          <cell r="C53" t="str">
            <v>dzień turnieju.</v>
          </cell>
          <cell r="I53" t="str">
            <v>Nr meczu</v>
          </cell>
          <cell r="N53" t="str">
            <v>Godz.</v>
          </cell>
          <cell r="R53" t="str">
            <v>S. prow.</v>
          </cell>
          <cell r="AF53" t="str">
            <v>wygrany</v>
          </cell>
          <cell r="AG53" t="str">
            <v>przegrany</v>
          </cell>
        </row>
        <row r="54">
          <cell r="B54" t="str">
            <v>Boisko</v>
          </cell>
          <cell r="C54" t="str">
            <v>Gra</v>
          </cell>
          <cell r="I54">
            <v>8</v>
          </cell>
          <cell r="N54" t="str">
            <v>rozp.</v>
          </cell>
          <cell r="P54" t="str">
            <v>zak.</v>
          </cell>
          <cell r="R54" t="str">
            <v>S. serw.</v>
          </cell>
        </row>
        <row r="55">
          <cell r="A55">
            <v>8</v>
          </cell>
          <cell r="C55" t="str">
            <v>Runners Up</v>
          </cell>
          <cell r="H55">
            <v>5</v>
          </cell>
          <cell r="I55">
            <v>21</v>
          </cell>
          <cell r="J55">
            <v>14</v>
          </cell>
          <cell r="K55">
            <v>21</v>
          </cell>
          <cell r="R55">
            <v>0</v>
          </cell>
          <cell r="S55" t="str">
            <v>godz.9:20</v>
          </cell>
          <cell r="X55">
            <v>8</v>
          </cell>
          <cell r="Y55" t="str">
            <v>Runners Up</v>
          </cell>
          <cell r="Z55" t="str">
            <v>P0019</v>
          </cell>
          <cell r="AA55" t="str">
            <v/>
          </cell>
          <cell r="AB55" t="str">
            <v>K0014</v>
          </cell>
          <cell r="AC55" t="str">
            <v/>
          </cell>
          <cell r="AD55" t="str">
            <v>K0014</v>
          </cell>
          <cell r="AE55" t="str">
            <v/>
          </cell>
          <cell r="AF55" t="str">
            <v>21:5,21:14</v>
          </cell>
          <cell r="AG55" t="str">
            <v>5:21,14:21</v>
          </cell>
          <cell r="AH55" t="str">
            <v/>
          </cell>
          <cell r="AI55">
            <v>5</v>
          </cell>
          <cell r="AJ55">
            <v>21</v>
          </cell>
          <cell r="AK55">
            <v>14</v>
          </cell>
          <cell r="AL55">
            <v>21</v>
          </cell>
          <cell r="AM55">
            <v>0</v>
          </cell>
          <cell r="AN55">
            <v>0</v>
          </cell>
        </row>
        <row r="56">
          <cell r="A56" t="str">
            <v/>
          </cell>
          <cell r="B56" t="str">
            <v>Patryk PIETRAS (Mielec)</v>
          </cell>
          <cell r="H56" t="str">
            <v>P0019</v>
          </cell>
          <cell r="K56" t="str">
            <v>K0014</v>
          </cell>
          <cell r="N56" t="str">
            <v>Zdzisław KULA  (Tarnów)</v>
          </cell>
        </row>
        <row r="57">
          <cell r="A57" t="str">
            <v/>
          </cell>
          <cell r="B57" t="str">
            <v/>
          </cell>
          <cell r="H57" t="str">
            <v/>
          </cell>
          <cell r="K57" t="str">
            <v/>
          </cell>
          <cell r="N57" t="str">
            <v/>
          </cell>
        </row>
        <row r="59">
          <cell r="B59" t="str">
            <v/>
          </cell>
          <cell r="K59" t="str">
            <v>zwycięzca(cy): 21:5,21:14</v>
          </cell>
        </row>
        <row r="60">
          <cell r="B60">
            <v>9</v>
          </cell>
          <cell r="C60" t="str">
            <v>dzień turnieju.</v>
          </cell>
          <cell r="I60" t="str">
            <v>Nr meczu</v>
          </cell>
          <cell r="N60" t="str">
            <v>Godz.</v>
          </cell>
          <cell r="R60" t="str">
            <v>S. prow.</v>
          </cell>
          <cell r="AF60" t="str">
            <v>wygrany</v>
          </cell>
          <cell r="AG60" t="str">
            <v>przegrany</v>
          </cell>
        </row>
        <row r="61">
          <cell r="B61" t="str">
            <v>Boisko</v>
          </cell>
          <cell r="C61" t="str">
            <v>Gra</v>
          </cell>
          <cell r="I61">
            <v>9</v>
          </cell>
          <cell r="N61" t="str">
            <v>rozp.</v>
          </cell>
          <cell r="P61" t="str">
            <v>zak.</v>
          </cell>
          <cell r="R61" t="str">
            <v>S. serw.</v>
          </cell>
        </row>
        <row r="62">
          <cell r="A62">
            <v>9</v>
          </cell>
          <cell r="C62" t="str">
            <v>Runners Up</v>
          </cell>
          <cell r="H62">
            <v>21</v>
          </cell>
          <cell r="I62">
            <v>19</v>
          </cell>
          <cell r="J62">
            <v>6</v>
          </cell>
          <cell r="K62">
            <v>21</v>
          </cell>
          <cell r="L62">
            <v>23</v>
          </cell>
          <cell r="M62">
            <v>21</v>
          </cell>
          <cell r="R62">
            <v>0</v>
          </cell>
          <cell r="S62" t="str">
            <v>godz.9:40</v>
          </cell>
          <cell r="X62">
            <v>9</v>
          </cell>
          <cell r="Y62" t="str">
            <v>Runners Up</v>
          </cell>
          <cell r="Z62" t="str">
            <v>R0003</v>
          </cell>
          <cell r="AA62" t="str">
            <v/>
          </cell>
          <cell r="AB62" t="str">
            <v>G0002</v>
          </cell>
          <cell r="AC62" t="str">
            <v/>
          </cell>
          <cell r="AD62" t="str">
            <v>R0003</v>
          </cell>
          <cell r="AE62" t="str">
            <v/>
          </cell>
          <cell r="AF62" t="str">
            <v>21:19,6:21,23:21</v>
          </cell>
          <cell r="AG62" t="str">
            <v>19:21,21:6,21:23</v>
          </cell>
          <cell r="AH62" t="str">
            <v/>
          </cell>
          <cell r="AI62">
            <v>21</v>
          </cell>
          <cell r="AJ62">
            <v>19</v>
          </cell>
          <cell r="AK62">
            <v>6</v>
          </cell>
          <cell r="AL62">
            <v>21</v>
          </cell>
          <cell r="AM62">
            <v>23</v>
          </cell>
          <cell r="AN62">
            <v>21</v>
          </cell>
        </row>
        <row r="63">
          <cell r="A63" t="str">
            <v/>
          </cell>
          <cell r="B63" t="str">
            <v>Dawid RZĄSA (Nowa Dęba)</v>
          </cell>
          <cell r="H63" t="str">
            <v>R0003</v>
          </cell>
          <cell r="K63" t="str">
            <v>G0002</v>
          </cell>
          <cell r="N63" t="str">
            <v>Jarosław GÓRSKI (Gorlice)</v>
          </cell>
        </row>
        <row r="64">
          <cell r="A64" t="str">
            <v/>
          </cell>
          <cell r="B64" t="str">
            <v/>
          </cell>
          <cell r="H64" t="str">
            <v/>
          </cell>
          <cell r="K64" t="str">
            <v/>
          </cell>
          <cell r="N64" t="str">
            <v/>
          </cell>
        </row>
        <row r="66">
          <cell r="B66" t="str">
            <v>zwycięzca(cy): 21:19,6:21,23:21</v>
          </cell>
          <cell r="K66" t="str">
            <v/>
          </cell>
        </row>
        <row r="67">
          <cell r="B67">
            <v>10</v>
          </cell>
          <cell r="C67" t="str">
            <v>dzień turnieju.</v>
          </cell>
          <cell r="I67" t="str">
            <v>Nr meczu</v>
          </cell>
          <cell r="N67" t="str">
            <v>Godz.</v>
          </cell>
          <cell r="R67" t="str">
            <v>S. prow.</v>
          </cell>
          <cell r="AF67" t="str">
            <v>wygrany</v>
          </cell>
          <cell r="AG67" t="str">
            <v>przegrany</v>
          </cell>
        </row>
        <row r="68">
          <cell r="B68" t="str">
            <v>Boisko</v>
          </cell>
          <cell r="C68" t="str">
            <v>Gra</v>
          </cell>
          <cell r="I68">
            <v>10</v>
          </cell>
          <cell r="N68" t="str">
            <v>rozp.</v>
          </cell>
          <cell r="P68" t="str">
            <v>zak.</v>
          </cell>
          <cell r="R68" t="str">
            <v>S. serw.</v>
          </cell>
        </row>
        <row r="69">
          <cell r="A69">
            <v>10</v>
          </cell>
          <cell r="C69" t="str">
            <v>Runners Up</v>
          </cell>
          <cell r="H69">
            <v>4</v>
          </cell>
          <cell r="I69">
            <v>21</v>
          </cell>
          <cell r="J69">
            <v>2</v>
          </cell>
          <cell r="K69">
            <v>21</v>
          </cell>
          <cell r="R69">
            <v>0</v>
          </cell>
          <cell r="S69" t="str">
            <v>godz.9:40</v>
          </cell>
          <cell r="X69">
            <v>10</v>
          </cell>
          <cell r="Y69" t="str">
            <v>Runners Up</v>
          </cell>
          <cell r="Z69" t="str">
            <v>W0009</v>
          </cell>
          <cell r="AA69" t="str">
            <v/>
          </cell>
          <cell r="AB69" t="str">
            <v>P0003</v>
          </cell>
          <cell r="AC69" t="str">
            <v/>
          </cell>
          <cell r="AD69" t="str">
            <v>P0003</v>
          </cell>
          <cell r="AE69" t="str">
            <v/>
          </cell>
          <cell r="AF69" t="str">
            <v>21:4,21:2</v>
          </cell>
          <cell r="AG69" t="str">
            <v>4:21,2:21</v>
          </cell>
          <cell r="AH69" t="str">
            <v/>
          </cell>
          <cell r="AI69">
            <v>4</v>
          </cell>
          <cell r="AJ69">
            <v>21</v>
          </cell>
          <cell r="AK69">
            <v>2</v>
          </cell>
          <cell r="AL69">
            <v>21</v>
          </cell>
          <cell r="AM69">
            <v>0</v>
          </cell>
          <cell r="AN69">
            <v>0</v>
          </cell>
        </row>
        <row r="70">
          <cell r="A70" t="str">
            <v/>
          </cell>
          <cell r="B70" t="str">
            <v>Karol WESOŁOWSKI (Mielec)</v>
          </cell>
          <cell r="H70" t="str">
            <v>W0009</v>
          </cell>
          <cell r="K70" t="str">
            <v>P0003</v>
          </cell>
          <cell r="N70" t="str">
            <v>Łukasz PIENIĄŻEK (Rzeszów)</v>
          </cell>
        </row>
        <row r="71">
          <cell r="A71" t="str">
            <v/>
          </cell>
          <cell r="B71" t="str">
            <v/>
          </cell>
          <cell r="H71" t="str">
            <v/>
          </cell>
          <cell r="K71" t="str">
            <v/>
          </cell>
          <cell r="N71" t="str">
            <v/>
          </cell>
        </row>
        <row r="73">
          <cell r="B73" t="str">
            <v/>
          </cell>
          <cell r="K73" t="str">
            <v>zwycięzca(cy): 21:4,21:2</v>
          </cell>
        </row>
        <row r="74">
          <cell r="B74">
            <v>11</v>
          </cell>
          <cell r="C74" t="str">
            <v>dzień turnieju.</v>
          </cell>
          <cell r="I74" t="str">
            <v>Nr meczu</v>
          </cell>
          <cell r="N74" t="str">
            <v>Godz.</v>
          </cell>
          <cell r="R74" t="str">
            <v>S. prow.</v>
          </cell>
          <cell r="AF74" t="str">
            <v>wygrany</v>
          </cell>
          <cell r="AG74" t="str">
            <v>przegrany</v>
          </cell>
        </row>
        <row r="75">
          <cell r="B75" t="str">
            <v>Boisko</v>
          </cell>
          <cell r="C75" t="str">
            <v>Gra</v>
          </cell>
          <cell r="I75">
            <v>11</v>
          </cell>
          <cell r="N75" t="str">
            <v>rozp.</v>
          </cell>
          <cell r="P75" t="str">
            <v>zak.</v>
          </cell>
          <cell r="R75" t="str">
            <v>S. serw.</v>
          </cell>
        </row>
        <row r="76">
          <cell r="A76">
            <v>11</v>
          </cell>
          <cell r="C76" t="str">
            <v>Runners Up</v>
          </cell>
          <cell r="H76">
            <v>14</v>
          </cell>
          <cell r="I76">
            <v>21</v>
          </cell>
          <cell r="J76">
            <v>13</v>
          </cell>
          <cell r="K76">
            <v>21</v>
          </cell>
          <cell r="R76">
            <v>0</v>
          </cell>
          <cell r="S76" t="str">
            <v>godz.9:40</v>
          </cell>
          <cell r="X76">
            <v>11</v>
          </cell>
          <cell r="Y76" t="str">
            <v>Runners Up</v>
          </cell>
          <cell r="Z76" t="str">
            <v>R0010</v>
          </cell>
          <cell r="AA76" t="str">
            <v/>
          </cell>
          <cell r="AB76" t="str">
            <v>M0008</v>
          </cell>
          <cell r="AC76" t="str">
            <v/>
          </cell>
          <cell r="AD76" t="str">
            <v>M0008</v>
          </cell>
          <cell r="AE76" t="str">
            <v/>
          </cell>
          <cell r="AF76" t="str">
            <v>21:14,21:13</v>
          </cell>
          <cell r="AG76" t="str">
            <v>14:21,13:21</v>
          </cell>
          <cell r="AH76" t="str">
            <v/>
          </cell>
          <cell r="AI76">
            <v>14</v>
          </cell>
          <cell r="AJ76">
            <v>21</v>
          </cell>
          <cell r="AK76">
            <v>13</v>
          </cell>
          <cell r="AL76">
            <v>21</v>
          </cell>
          <cell r="AM76">
            <v>0</v>
          </cell>
          <cell r="AN76">
            <v>0</v>
          </cell>
        </row>
        <row r="77">
          <cell r="A77" t="str">
            <v/>
          </cell>
          <cell r="B77" t="str">
            <v>Marek REGUŁA (Mielec)</v>
          </cell>
          <cell r="H77" t="str">
            <v>R0010</v>
          </cell>
          <cell r="K77" t="str">
            <v>M0008</v>
          </cell>
          <cell r="N77" t="str">
            <v>Tadeusz MICHALIK (Tarnów)</v>
          </cell>
        </row>
        <row r="78">
          <cell r="A78" t="str">
            <v/>
          </cell>
          <cell r="B78" t="str">
            <v/>
          </cell>
          <cell r="H78" t="str">
            <v/>
          </cell>
          <cell r="K78" t="str">
            <v/>
          </cell>
          <cell r="N78" t="str">
            <v/>
          </cell>
        </row>
        <row r="80">
          <cell r="B80" t="str">
            <v/>
          </cell>
          <cell r="K80" t="str">
            <v>zwycięzca(cy): 21:14,21:13</v>
          </cell>
        </row>
        <row r="81">
          <cell r="B81">
            <v>12</v>
          </cell>
          <cell r="C81" t="str">
            <v>dzień turnieju.</v>
          </cell>
          <cell r="I81" t="str">
            <v>Nr meczu</v>
          </cell>
          <cell r="N81" t="str">
            <v>Godz.</v>
          </cell>
          <cell r="R81" t="str">
            <v>S. prow.</v>
          </cell>
          <cell r="AF81" t="str">
            <v>wygrany</v>
          </cell>
          <cell r="AG81" t="str">
            <v>przegrany</v>
          </cell>
        </row>
        <row r="82">
          <cell r="B82" t="str">
            <v>Boisko</v>
          </cell>
          <cell r="C82" t="str">
            <v>Gra</v>
          </cell>
          <cell r="I82">
            <v>12</v>
          </cell>
          <cell r="N82" t="str">
            <v>rozp.</v>
          </cell>
          <cell r="P82" t="str">
            <v>zak.</v>
          </cell>
          <cell r="R82" t="str">
            <v>S. serw.</v>
          </cell>
        </row>
        <row r="83">
          <cell r="A83">
            <v>12</v>
          </cell>
          <cell r="C83" t="str">
            <v>Runners Up</v>
          </cell>
          <cell r="H83">
            <v>21</v>
          </cell>
          <cell r="I83">
            <v>13</v>
          </cell>
          <cell r="J83">
            <v>21</v>
          </cell>
          <cell r="K83">
            <v>15</v>
          </cell>
          <cell r="R83">
            <v>0</v>
          </cell>
          <cell r="S83" t="str">
            <v>godz.9:40</v>
          </cell>
          <cell r="X83">
            <v>12</v>
          </cell>
          <cell r="Y83" t="str">
            <v>Runners Up</v>
          </cell>
          <cell r="Z83" t="str">
            <v>B0006</v>
          </cell>
          <cell r="AA83" t="str">
            <v/>
          </cell>
          <cell r="AB83" t="str">
            <v>K0034</v>
          </cell>
          <cell r="AC83" t="str">
            <v/>
          </cell>
          <cell r="AD83" t="str">
            <v>B0006</v>
          </cell>
          <cell r="AE83" t="str">
            <v/>
          </cell>
          <cell r="AF83" t="str">
            <v>21:13,21:15</v>
          </cell>
          <cell r="AG83" t="str">
            <v>13:21,15:21</v>
          </cell>
          <cell r="AH83" t="str">
            <v/>
          </cell>
          <cell r="AI83">
            <v>21</v>
          </cell>
          <cell r="AJ83">
            <v>13</v>
          </cell>
          <cell r="AK83">
            <v>21</v>
          </cell>
          <cell r="AL83">
            <v>15</v>
          </cell>
          <cell r="AM83">
            <v>0</v>
          </cell>
          <cell r="AN83">
            <v>0</v>
          </cell>
        </row>
        <row r="84">
          <cell r="A84" t="str">
            <v/>
          </cell>
          <cell r="B84" t="str">
            <v>Adrian BOGDAN (Nowa Dęba)</v>
          </cell>
          <cell r="H84" t="str">
            <v>B0006</v>
          </cell>
          <cell r="K84" t="str">
            <v>K0034</v>
          </cell>
          <cell r="N84" t="str">
            <v>Marcin KOWALIK (Rzeszów)</v>
          </cell>
        </row>
        <row r="85">
          <cell r="A85" t="str">
            <v/>
          </cell>
          <cell r="B85" t="str">
            <v/>
          </cell>
          <cell r="H85" t="str">
            <v/>
          </cell>
          <cell r="K85" t="str">
            <v/>
          </cell>
          <cell r="N85" t="str">
            <v/>
          </cell>
        </row>
        <row r="87">
          <cell r="B87" t="str">
            <v>zwycięzca(cy): 21:13,21:15</v>
          </cell>
          <cell r="K87" t="str">
            <v/>
          </cell>
        </row>
        <row r="88">
          <cell r="B88">
            <v>13</v>
          </cell>
          <cell r="C88" t="str">
            <v>dzień turnieju.</v>
          </cell>
          <cell r="I88" t="str">
            <v>Nr meczu</v>
          </cell>
          <cell r="N88" t="str">
            <v>Godz.</v>
          </cell>
          <cell r="R88" t="str">
            <v>S. prow.</v>
          </cell>
          <cell r="AF88" t="str">
            <v>wygrany</v>
          </cell>
          <cell r="AG88" t="str">
            <v>przegrany</v>
          </cell>
        </row>
        <row r="89">
          <cell r="B89" t="str">
            <v>Boisko</v>
          </cell>
          <cell r="C89" t="str">
            <v>Gra</v>
          </cell>
          <cell r="I89">
            <v>13</v>
          </cell>
          <cell r="N89" t="str">
            <v>rozp.</v>
          </cell>
          <cell r="P89" t="str">
            <v>zak.</v>
          </cell>
          <cell r="R89" t="str">
            <v>S. serw.</v>
          </cell>
        </row>
        <row r="90">
          <cell r="A90">
            <v>13</v>
          </cell>
          <cell r="C90" t="str">
            <v>Runners Up</v>
          </cell>
          <cell r="H90">
            <v>21</v>
          </cell>
          <cell r="I90">
            <v>7</v>
          </cell>
          <cell r="J90">
            <v>21</v>
          </cell>
          <cell r="K90">
            <v>6</v>
          </cell>
          <cell r="R90">
            <v>0</v>
          </cell>
          <cell r="S90" t="str">
            <v>godz.10:00</v>
          </cell>
          <cell r="X90">
            <v>13</v>
          </cell>
          <cell r="Y90" t="str">
            <v>Runners Up</v>
          </cell>
          <cell r="Z90" t="str">
            <v>K0033</v>
          </cell>
          <cell r="AA90" t="str">
            <v/>
          </cell>
          <cell r="AB90" t="str">
            <v>G0011</v>
          </cell>
          <cell r="AC90" t="str">
            <v/>
          </cell>
          <cell r="AD90" t="str">
            <v>K0033</v>
          </cell>
          <cell r="AE90" t="str">
            <v/>
          </cell>
          <cell r="AF90" t="str">
            <v>21:7,21:6</v>
          </cell>
          <cell r="AG90" t="str">
            <v>7:21,6:21</v>
          </cell>
          <cell r="AH90" t="str">
            <v/>
          </cell>
          <cell r="AI90">
            <v>21</v>
          </cell>
          <cell r="AJ90">
            <v>7</v>
          </cell>
          <cell r="AK90">
            <v>21</v>
          </cell>
          <cell r="AL90">
            <v>6</v>
          </cell>
          <cell r="AM90">
            <v>0</v>
          </cell>
          <cell r="AN90">
            <v>0</v>
          </cell>
        </row>
        <row r="91">
          <cell r="A91" t="str">
            <v/>
          </cell>
          <cell r="B91" t="str">
            <v>Marek KAMIŃSKI (Nowa Dęba)</v>
          </cell>
          <cell r="H91" t="str">
            <v>K0033</v>
          </cell>
          <cell r="K91" t="str">
            <v>G0011</v>
          </cell>
          <cell r="N91" t="str">
            <v>Jakub GERCZAK (Rzeszów)</v>
          </cell>
        </row>
        <row r="92">
          <cell r="A92" t="str">
            <v/>
          </cell>
          <cell r="B92" t="str">
            <v/>
          </cell>
          <cell r="H92" t="str">
            <v/>
          </cell>
          <cell r="K92" t="str">
            <v/>
          </cell>
          <cell r="N92" t="str">
            <v/>
          </cell>
        </row>
        <row r="94">
          <cell r="B94" t="str">
            <v>zwycięzca(cy): 21:7,21:6</v>
          </cell>
          <cell r="K94" t="str">
            <v/>
          </cell>
        </row>
        <row r="95">
          <cell r="B95">
            <v>14</v>
          </cell>
          <cell r="C95" t="str">
            <v>dzień turnieju.</v>
          </cell>
          <cell r="I95" t="str">
            <v>Nr meczu</v>
          </cell>
          <cell r="N95" t="str">
            <v>Godz.</v>
          </cell>
          <cell r="R95" t="str">
            <v>S. prow.</v>
          </cell>
          <cell r="AF95" t="str">
            <v>wygrany</v>
          </cell>
          <cell r="AG95" t="str">
            <v>przegrany</v>
          </cell>
        </row>
        <row r="96">
          <cell r="B96" t="str">
            <v>Boisko</v>
          </cell>
          <cell r="C96" t="str">
            <v>Gra</v>
          </cell>
          <cell r="I96">
            <v>14</v>
          </cell>
          <cell r="N96" t="str">
            <v>rozp.</v>
          </cell>
          <cell r="P96" t="str">
            <v>zak.</v>
          </cell>
          <cell r="R96" t="str">
            <v>S. serw.</v>
          </cell>
        </row>
        <row r="97">
          <cell r="A97">
            <v>14</v>
          </cell>
          <cell r="C97" t="str">
            <v>Runners Up</v>
          </cell>
          <cell r="H97">
            <v>10</v>
          </cell>
          <cell r="I97">
            <v>21</v>
          </cell>
          <cell r="J97">
            <v>21</v>
          </cell>
          <cell r="K97">
            <v>15</v>
          </cell>
          <cell r="L97">
            <v>15</v>
          </cell>
          <cell r="M97">
            <v>21</v>
          </cell>
          <cell r="R97">
            <v>0</v>
          </cell>
          <cell r="S97" t="str">
            <v>godz.10:00</v>
          </cell>
          <cell r="X97">
            <v>14</v>
          </cell>
          <cell r="Y97" t="str">
            <v>Runners Up</v>
          </cell>
          <cell r="Z97" t="str">
            <v>M0012</v>
          </cell>
          <cell r="AA97" t="str">
            <v/>
          </cell>
          <cell r="AB97" t="str">
            <v>W0010</v>
          </cell>
          <cell r="AC97" t="str">
            <v/>
          </cell>
          <cell r="AD97" t="str">
            <v>W0010</v>
          </cell>
          <cell r="AE97" t="str">
            <v/>
          </cell>
          <cell r="AF97" t="str">
            <v>21:10,15:21,21:15</v>
          </cell>
          <cell r="AG97" t="str">
            <v>10:21,21:15,15:21</v>
          </cell>
          <cell r="AH97" t="str">
            <v/>
          </cell>
          <cell r="AI97">
            <v>10</v>
          </cell>
          <cell r="AJ97">
            <v>21</v>
          </cell>
          <cell r="AK97">
            <v>21</v>
          </cell>
          <cell r="AL97">
            <v>15</v>
          </cell>
          <cell r="AM97">
            <v>15</v>
          </cell>
          <cell r="AN97">
            <v>21</v>
          </cell>
        </row>
        <row r="98">
          <cell r="A98" t="str">
            <v/>
          </cell>
          <cell r="B98" t="str">
            <v>Jarosław MAZUR (Mielec)</v>
          </cell>
          <cell r="H98" t="str">
            <v>M0012</v>
          </cell>
          <cell r="K98" t="str">
            <v>W0010</v>
          </cell>
          <cell r="N98" t="str">
            <v>Dariusz WALAS (Rzeszów)</v>
          </cell>
        </row>
        <row r="99">
          <cell r="A99" t="str">
            <v/>
          </cell>
          <cell r="B99" t="str">
            <v/>
          </cell>
          <cell r="H99" t="str">
            <v/>
          </cell>
          <cell r="K99" t="str">
            <v/>
          </cell>
          <cell r="N99" t="str">
            <v/>
          </cell>
        </row>
        <row r="101">
          <cell r="B101" t="str">
            <v/>
          </cell>
          <cell r="K101" t="str">
            <v>zwycięzca(cy): 21:10,15:21,21:15</v>
          </cell>
        </row>
        <row r="102">
          <cell r="B102">
            <v>15</v>
          </cell>
          <cell r="C102" t="str">
            <v>dzień turnieju.</v>
          </cell>
          <cell r="I102" t="str">
            <v>Nr meczu</v>
          </cell>
          <cell r="N102" t="str">
            <v>Godz.</v>
          </cell>
          <cell r="R102" t="str">
            <v>S. prow.</v>
          </cell>
          <cell r="AF102" t="str">
            <v>wygrany</v>
          </cell>
          <cell r="AG102" t="str">
            <v>przegrany</v>
          </cell>
        </row>
        <row r="103">
          <cell r="B103" t="str">
            <v>Boisko</v>
          </cell>
          <cell r="C103" t="str">
            <v>Gra</v>
          </cell>
          <cell r="I103">
            <v>15</v>
          </cell>
          <cell r="N103" t="str">
            <v>rozp.</v>
          </cell>
          <cell r="P103" t="str">
            <v>zak.</v>
          </cell>
          <cell r="R103" t="str">
            <v>S. serw.</v>
          </cell>
        </row>
        <row r="104">
          <cell r="A104">
            <v>15</v>
          </cell>
          <cell r="C104" t="str">
            <v>Runners Up</v>
          </cell>
          <cell r="H104">
            <v>18</v>
          </cell>
          <cell r="I104">
            <v>21</v>
          </cell>
          <cell r="J104">
            <v>21</v>
          </cell>
          <cell r="K104">
            <v>12</v>
          </cell>
          <cell r="L104">
            <v>21</v>
          </cell>
          <cell r="M104">
            <v>9</v>
          </cell>
          <cell r="R104">
            <v>0</v>
          </cell>
          <cell r="S104" t="str">
            <v>godz.10:00</v>
          </cell>
          <cell r="X104">
            <v>15</v>
          </cell>
          <cell r="Y104" t="str">
            <v>Runners Up</v>
          </cell>
          <cell r="Z104" t="str">
            <v>B0009</v>
          </cell>
          <cell r="AA104" t="str">
            <v/>
          </cell>
          <cell r="AB104" t="str">
            <v>K0014</v>
          </cell>
          <cell r="AC104" t="str">
            <v/>
          </cell>
          <cell r="AD104" t="str">
            <v>B0009</v>
          </cell>
          <cell r="AE104" t="str">
            <v/>
          </cell>
          <cell r="AF104" t="str">
            <v>18:21,21:12,21:9</v>
          </cell>
          <cell r="AG104" t="str">
            <v>21:18,12:21,9:21</v>
          </cell>
          <cell r="AH104" t="str">
            <v/>
          </cell>
          <cell r="AI104">
            <v>18</v>
          </cell>
          <cell r="AJ104">
            <v>21</v>
          </cell>
          <cell r="AK104">
            <v>21</v>
          </cell>
          <cell r="AL104">
            <v>12</v>
          </cell>
          <cell r="AM104">
            <v>21</v>
          </cell>
          <cell r="AN104">
            <v>9</v>
          </cell>
        </row>
        <row r="105">
          <cell r="A105" t="str">
            <v/>
          </cell>
          <cell r="B105" t="str">
            <v>Adam BUNIO (Nowa Dęba)</v>
          </cell>
          <cell r="H105" t="str">
            <v>B0009</v>
          </cell>
          <cell r="K105" t="str">
            <v>K0014</v>
          </cell>
          <cell r="N105" t="str">
            <v>Zdzisław KULA  (Tarnów)</v>
          </cell>
        </row>
        <row r="106">
          <cell r="A106" t="str">
            <v/>
          </cell>
          <cell r="B106" t="str">
            <v/>
          </cell>
          <cell r="H106" t="str">
            <v/>
          </cell>
          <cell r="K106" t="str">
            <v/>
          </cell>
          <cell r="N106" t="str">
            <v/>
          </cell>
        </row>
        <row r="108">
          <cell r="B108" t="str">
            <v>zwycięzca(cy): 18:21,21:12,21:9</v>
          </cell>
          <cell r="K108" t="str">
            <v/>
          </cell>
        </row>
        <row r="109">
          <cell r="B109">
            <v>16</v>
          </cell>
          <cell r="C109" t="str">
            <v>dzień turnieju.</v>
          </cell>
          <cell r="I109" t="str">
            <v>Nr meczu</v>
          </cell>
          <cell r="N109" t="str">
            <v>Godz.</v>
          </cell>
          <cell r="R109" t="str">
            <v>S. prow.</v>
          </cell>
          <cell r="AF109" t="str">
            <v>wygrany</v>
          </cell>
          <cell r="AG109" t="str">
            <v>przegrany</v>
          </cell>
        </row>
        <row r="110">
          <cell r="B110" t="str">
            <v>Boisko</v>
          </cell>
          <cell r="C110" t="str">
            <v>Gra</v>
          </cell>
          <cell r="I110">
            <v>16</v>
          </cell>
          <cell r="N110" t="str">
            <v>rozp.</v>
          </cell>
          <cell r="P110" t="str">
            <v>zak.</v>
          </cell>
          <cell r="R110" t="str">
            <v>S. serw.</v>
          </cell>
        </row>
        <row r="111">
          <cell r="A111">
            <v>16</v>
          </cell>
          <cell r="C111" t="str">
            <v>Runners Up</v>
          </cell>
          <cell r="H111">
            <v>11</v>
          </cell>
          <cell r="I111">
            <v>21</v>
          </cell>
          <cell r="J111">
            <v>8</v>
          </cell>
          <cell r="K111">
            <v>21</v>
          </cell>
          <cell r="R111">
            <v>0</v>
          </cell>
          <cell r="S111" t="str">
            <v>godz.10:00</v>
          </cell>
          <cell r="X111">
            <v>16</v>
          </cell>
          <cell r="Y111" t="str">
            <v>Runners Up</v>
          </cell>
          <cell r="Z111" t="str">
            <v>P0019</v>
          </cell>
          <cell r="AA111" t="str">
            <v/>
          </cell>
          <cell r="AB111" t="str">
            <v>M0019</v>
          </cell>
          <cell r="AC111" t="str">
            <v/>
          </cell>
          <cell r="AD111" t="str">
            <v>M0019</v>
          </cell>
          <cell r="AE111" t="str">
            <v/>
          </cell>
          <cell r="AF111" t="str">
            <v>21:11,21:8</v>
          </cell>
          <cell r="AG111" t="str">
            <v>11:21,8:21</v>
          </cell>
          <cell r="AH111" t="str">
            <v/>
          </cell>
          <cell r="AI111">
            <v>11</v>
          </cell>
          <cell r="AJ111">
            <v>21</v>
          </cell>
          <cell r="AK111">
            <v>8</v>
          </cell>
          <cell r="AL111">
            <v>21</v>
          </cell>
          <cell r="AM111">
            <v>0</v>
          </cell>
          <cell r="AN111">
            <v>0</v>
          </cell>
        </row>
        <row r="112">
          <cell r="A112" t="str">
            <v/>
          </cell>
          <cell r="B112" t="str">
            <v>Patryk PIETRAS (Mielec)</v>
          </cell>
          <cell r="H112" t="str">
            <v>P0019</v>
          </cell>
          <cell r="K112" t="str">
            <v>M0019</v>
          </cell>
          <cell r="N112" t="str">
            <v>Grzegorz MAC  (Rzeszów)</v>
          </cell>
        </row>
        <row r="113">
          <cell r="A113" t="str">
            <v/>
          </cell>
          <cell r="B113" t="str">
            <v/>
          </cell>
          <cell r="H113" t="str">
            <v/>
          </cell>
          <cell r="K113" t="str">
            <v/>
          </cell>
          <cell r="N113" t="str">
            <v/>
          </cell>
        </row>
        <row r="115">
          <cell r="B115" t="str">
            <v/>
          </cell>
          <cell r="K115" t="str">
            <v>zwycięzca(cy): 21:11,21:8</v>
          </cell>
        </row>
        <row r="116">
          <cell r="B116">
            <v>17</v>
          </cell>
          <cell r="C116" t="str">
            <v>dzień turnieju.</v>
          </cell>
          <cell r="I116" t="str">
            <v>Nr meczu</v>
          </cell>
          <cell r="N116" t="str">
            <v>Godz.</v>
          </cell>
          <cell r="R116" t="str">
            <v>S. prow.</v>
          </cell>
          <cell r="AF116" t="str">
            <v>wygrany</v>
          </cell>
          <cell r="AG116" t="str">
            <v>przegrany</v>
          </cell>
        </row>
        <row r="117">
          <cell r="B117" t="str">
            <v>Boisko</v>
          </cell>
          <cell r="C117" t="str">
            <v>Gra</v>
          </cell>
          <cell r="I117">
            <v>17</v>
          </cell>
          <cell r="N117" t="str">
            <v>rozp.</v>
          </cell>
          <cell r="P117" t="str">
            <v>zak.</v>
          </cell>
          <cell r="R117" t="str">
            <v>S. serw.</v>
          </cell>
        </row>
        <row r="118">
          <cell r="A118">
            <v>17</v>
          </cell>
          <cell r="C118" t="str">
            <v>Runners Up</v>
          </cell>
          <cell r="H118">
            <v>22</v>
          </cell>
          <cell r="I118">
            <v>20</v>
          </cell>
          <cell r="J118">
            <v>21</v>
          </cell>
          <cell r="K118">
            <v>18</v>
          </cell>
          <cell r="R118">
            <v>0</v>
          </cell>
          <cell r="S118" t="str">
            <v>godz.10:20</v>
          </cell>
          <cell r="X118">
            <v>17</v>
          </cell>
          <cell r="Y118" t="str">
            <v>Runners Up</v>
          </cell>
          <cell r="Z118" t="str">
            <v>P0003</v>
          </cell>
          <cell r="AA118" t="str">
            <v/>
          </cell>
          <cell r="AB118" t="str">
            <v>G0002</v>
          </cell>
          <cell r="AC118" t="str">
            <v/>
          </cell>
          <cell r="AD118" t="str">
            <v>P0003</v>
          </cell>
          <cell r="AE118" t="str">
            <v/>
          </cell>
          <cell r="AF118" t="str">
            <v>22:20,21:18</v>
          </cell>
          <cell r="AG118" t="str">
            <v>20:22,18:21</v>
          </cell>
          <cell r="AH118" t="str">
            <v/>
          </cell>
          <cell r="AI118">
            <v>22</v>
          </cell>
          <cell r="AJ118">
            <v>20</v>
          </cell>
          <cell r="AK118">
            <v>21</v>
          </cell>
          <cell r="AL118">
            <v>18</v>
          </cell>
          <cell r="AM118">
            <v>0</v>
          </cell>
          <cell r="AN118">
            <v>0</v>
          </cell>
        </row>
        <row r="119">
          <cell r="A119" t="str">
            <v/>
          </cell>
          <cell r="B119" t="str">
            <v>Łukasz PIENIĄŻEK (Rzeszów)</v>
          </cell>
          <cell r="H119" t="str">
            <v>P0003</v>
          </cell>
          <cell r="K119" t="str">
            <v>G0002</v>
          </cell>
          <cell r="N119" t="str">
            <v>Jarosław GÓRSKI (Gorlice)</v>
          </cell>
        </row>
        <row r="120">
          <cell r="A120" t="str">
            <v/>
          </cell>
          <cell r="B120" t="str">
            <v/>
          </cell>
          <cell r="H120" t="str">
            <v/>
          </cell>
          <cell r="K120" t="str">
            <v/>
          </cell>
          <cell r="N120" t="str">
            <v/>
          </cell>
        </row>
        <row r="122">
          <cell r="B122" t="str">
            <v>zwycięzca(cy): 22:20,21:18</v>
          </cell>
          <cell r="K122" t="str">
            <v/>
          </cell>
        </row>
        <row r="123">
          <cell r="B123">
            <v>18</v>
          </cell>
          <cell r="C123" t="str">
            <v>dzień turnieju.</v>
          </cell>
          <cell r="I123" t="str">
            <v>Nr meczu</v>
          </cell>
          <cell r="N123" t="str">
            <v>Godz.</v>
          </cell>
          <cell r="R123" t="str">
            <v>S. prow.</v>
          </cell>
          <cell r="AF123" t="str">
            <v>wygrany</v>
          </cell>
          <cell r="AG123" t="str">
            <v>przegrany</v>
          </cell>
        </row>
        <row r="124">
          <cell r="B124" t="str">
            <v>Boisko</v>
          </cell>
          <cell r="C124" t="str">
            <v>Gra</v>
          </cell>
          <cell r="I124">
            <v>18</v>
          </cell>
          <cell r="N124" t="str">
            <v>rozp.</v>
          </cell>
          <cell r="P124" t="str">
            <v>zak.</v>
          </cell>
          <cell r="R124" t="str">
            <v>S. serw.</v>
          </cell>
        </row>
        <row r="125">
          <cell r="A125">
            <v>18</v>
          </cell>
          <cell r="C125" t="str">
            <v>Runners Up</v>
          </cell>
          <cell r="H125">
            <v>21</v>
          </cell>
          <cell r="I125">
            <v>13</v>
          </cell>
          <cell r="J125">
            <v>21</v>
          </cell>
          <cell r="K125">
            <v>18</v>
          </cell>
          <cell r="R125">
            <v>0</v>
          </cell>
          <cell r="S125" t="str">
            <v>godz.10:20</v>
          </cell>
          <cell r="X125">
            <v>18</v>
          </cell>
          <cell r="Y125" t="str">
            <v>Runners Up</v>
          </cell>
          <cell r="Z125" t="str">
            <v>R0003</v>
          </cell>
          <cell r="AA125" t="str">
            <v/>
          </cell>
          <cell r="AB125" t="str">
            <v>W0009</v>
          </cell>
          <cell r="AC125" t="str">
            <v/>
          </cell>
          <cell r="AD125" t="str">
            <v>R0003</v>
          </cell>
          <cell r="AE125" t="str">
            <v/>
          </cell>
          <cell r="AF125" t="str">
            <v>21:13,21:18</v>
          </cell>
          <cell r="AG125" t="str">
            <v>13:21,18:21</v>
          </cell>
          <cell r="AH125" t="str">
            <v/>
          </cell>
          <cell r="AI125">
            <v>21</v>
          </cell>
          <cell r="AJ125">
            <v>13</v>
          </cell>
          <cell r="AK125">
            <v>21</v>
          </cell>
          <cell r="AL125">
            <v>18</v>
          </cell>
          <cell r="AM125">
            <v>0</v>
          </cell>
          <cell r="AN125">
            <v>0</v>
          </cell>
        </row>
        <row r="126">
          <cell r="A126" t="str">
            <v/>
          </cell>
          <cell r="B126" t="str">
            <v>Dawid RZĄSA (Nowa Dęba)</v>
          </cell>
          <cell r="H126" t="str">
            <v>R0003</v>
          </cell>
          <cell r="K126" t="str">
            <v>W0009</v>
          </cell>
          <cell r="N126" t="str">
            <v>Karol WESOŁOWSKI (Mielec)</v>
          </cell>
        </row>
        <row r="127">
          <cell r="A127" t="str">
            <v/>
          </cell>
          <cell r="B127" t="str">
            <v/>
          </cell>
          <cell r="H127" t="str">
            <v/>
          </cell>
          <cell r="K127" t="str">
            <v/>
          </cell>
          <cell r="N127" t="str">
            <v/>
          </cell>
        </row>
        <row r="129">
          <cell r="B129" t="str">
            <v>zwycięzca(cy): 21:13,21:18</v>
          </cell>
          <cell r="K129" t="str">
            <v/>
          </cell>
        </row>
        <row r="130">
          <cell r="B130">
            <v>19</v>
          </cell>
          <cell r="C130" t="str">
            <v>dzień turnieju.</v>
          </cell>
          <cell r="I130" t="str">
            <v>Nr meczu</v>
          </cell>
          <cell r="N130" t="str">
            <v>Godz.</v>
          </cell>
          <cell r="R130" t="str">
            <v>S. prow.</v>
          </cell>
          <cell r="AF130" t="str">
            <v>wygrany</v>
          </cell>
          <cell r="AG130" t="str">
            <v>przegrany</v>
          </cell>
        </row>
        <row r="131">
          <cell r="B131" t="str">
            <v>Boisko</v>
          </cell>
          <cell r="C131" t="str">
            <v>Gra</v>
          </cell>
          <cell r="I131">
            <v>19</v>
          </cell>
          <cell r="N131" t="str">
            <v>rozp.</v>
          </cell>
          <cell r="P131" t="str">
            <v>zak.</v>
          </cell>
          <cell r="R131" t="str">
            <v>S. serw.</v>
          </cell>
        </row>
        <row r="132">
          <cell r="A132">
            <v>19</v>
          </cell>
          <cell r="C132" t="str">
            <v>Runners Up</v>
          </cell>
          <cell r="H132">
            <v>21</v>
          </cell>
          <cell r="I132">
            <v>16</v>
          </cell>
          <cell r="J132">
            <v>21</v>
          </cell>
          <cell r="K132">
            <v>19</v>
          </cell>
          <cell r="R132">
            <v>0</v>
          </cell>
          <cell r="S132" t="str">
            <v>godz.10:20</v>
          </cell>
          <cell r="X132">
            <v>19</v>
          </cell>
          <cell r="Y132" t="str">
            <v>Runners Up</v>
          </cell>
          <cell r="Z132" t="str">
            <v>K0029</v>
          </cell>
          <cell r="AA132" t="str">
            <v/>
          </cell>
          <cell r="AB132" t="str">
            <v>R0010</v>
          </cell>
          <cell r="AC132" t="str">
            <v/>
          </cell>
          <cell r="AD132" t="str">
            <v>K0029</v>
          </cell>
          <cell r="AE132" t="str">
            <v/>
          </cell>
          <cell r="AF132" t="str">
            <v>21:16,21:19</v>
          </cell>
          <cell r="AG132" t="str">
            <v>16:21,19:21</v>
          </cell>
          <cell r="AH132" t="str">
            <v/>
          </cell>
          <cell r="AI132">
            <v>21</v>
          </cell>
          <cell r="AJ132">
            <v>16</v>
          </cell>
          <cell r="AK132">
            <v>21</v>
          </cell>
          <cell r="AL132">
            <v>19</v>
          </cell>
          <cell r="AM132">
            <v>0</v>
          </cell>
          <cell r="AN132">
            <v>0</v>
          </cell>
        </row>
        <row r="133">
          <cell r="A133" t="str">
            <v/>
          </cell>
          <cell r="B133" t="str">
            <v>Patryk KOPEĆ (Nowa Dęba)</v>
          </cell>
          <cell r="H133" t="str">
            <v>K0029</v>
          </cell>
          <cell r="K133" t="str">
            <v>R0010</v>
          </cell>
          <cell r="N133" t="str">
            <v>Marek REGUŁA (Mielec)</v>
          </cell>
        </row>
        <row r="134">
          <cell r="A134" t="str">
            <v/>
          </cell>
          <cell r="B134" t="str">
            <v/>
          </cell>
          <cell r="H134" t="str">
            <v/>
          </cell>
          <cell r="K134" t="str">
            <v/>
          </cell>
          <cell r="N134" t="str">
            <v/>
          </cell>
        </row>
        <row r="136">
          <cell r="B136" t="str">
            <v>zwycięzca(cy): 21:16,21:19</v>
          </cell>
          <cell r="K136" t="str">
            <v/>
          </cell>
        </row>
        <row r="137">
          <cell r="B137">
            <v>20</v>
          </cell>
          <cell r="C137" t="str">
            <v>dzień turnieju.</v>
          </cell>
          <cell r="I137" t="str">
            <v>Nr meczu</v>
          </cell>
          <cell r="N137" t="str">
            <v>Godz.</v>
          </cell>
          <cell r="R137" t="str">
            <v>S. prow.</v>
          </cell>
          <cell r="AF137" t="str">
            <v>wygrany</v>
          </cell>
          <cell r="AG137" t="str">
            <v>przegrany</v>
          </cell>
        </row>
        <row r="138">
          <cell r="B138" t="str">
            <v>Boisko</v>
          </cell>
          <cell r="C138" t="str">
            <v>Gra</v>
          </cell>
          <cell r="I138">
            <v>20</v>
          </cell>
          <cell r="N138" t="str">
            <v>rozp.</v>
          </cell>
          <cell r="P138" t="str">
            <v>zak.</v>
          </cell>
          <cell r="R138" t="str">
            <v>S. serw.</v>
          </cell>
        </row>
        <row r="139">
          <cell r="A139">
            <v>20</v>
          </cell>
          <cell r="C139" t="str">
            <v>Runners Up</v>
          </cell>
          <cell r="H139">
            <v>21</v>
          </cell>
          <cell r="I139">
            <v>23</v>
          </cell>
          <cell r="J139">
            <v>21</v>
          </cell>
          <cell r="K139">
            <v>17</v>
          </cell>
          <cell r="L139">
            <v>18</v>
          </cell>
          <cell r="M139">
            <v>21</v>
          </cell>
          <cell r="R139">
            <v>0</v>
          </cell>
          <cell r="S139" t="str">
            <v>godz.10:20</v>
          </cell>
          <cell r="X139">
            <v>20</v>
          </cell>
          <cell r="Y139" t="str">
            <v>Runners Up</v>
          </cell>
          <cell r="Z139" t="str">
            <v>N0002</v>
          </cell>
          <cell r="AA139" t="str">
            <v/>
          </cell>
          <cell r="AB139" t="str">
            <v>B0006</v>
          </cell>
          <cell r="AC139" t="str">
            <v/>
          </cell>
          <cell r="AD139" t="str">
            <v>B0006</v>
          </cell>
          <cell r="AE139" t="str">
            <v/>
          </cell>
          <cell r="AF139" t="str">
            <v>23:21,17:21,21:18</v>
          </cell>
          <cell r="AG139" t="str">
            <v>21:23,21:17,18:21</v>
          </cell>
          <cell r="AH139" t="str">
            <v/>
          </cell>
          <cell r="AI139">
            <v>21</v>
          </cell>
          <cell r="AJ139">
            <v>23</v>
          </cell>
          <cell r="AK139">
            <v>21</v>
          </cell>
          <cell r="AL139">
            <v>17</v>
          </cell>
          <cell r="AM139">
            <v>18</v>
          </cell>
          <cell r="AN139">
            <v>21</v>
          </cell>
        </row>
        <row r="140">
          <cell r="A140" t="str">
            <v/>
          </cell>
          <cell r="B140" t="str">
            <v>Robert NOWAK (Mielec)</v>
          </cell>
          <cell r="H140" t="str">
            <v>N0002</v>
          </cell>
          <cell r="K140" t="str">
            <v>B0006</v>
          </cell>
          <cell r="N140" t="str">
            <v>Adrian BOGDAN (Nowa Dęba)</v>
          </cell>
        </row>
        <row r="141">
          <cell r="A141" t="str">
            <v/>
          </cell>
          <cell r="B141" t="str">
            <v/>
          </cell>
          <cell r="H141" t="str">
            <v/>
          </cell>
          <cell r="K141" t="str">
            <v/>
          </cell>
          <cell r="N141" t="str">
            <v/>
          </cell>
        </row>
        <row r="143">
          <cell r="B143" t="str">
            <v/>
          </cell>
          <cell r="K143" t="str">
            <v>zwycięzca(cy): 23:21,17:21,21:18</v>
          </cell>
        </row>
        <row r="144">
          <cell r="B144">
            <v>21</v>
          </cell>
          <cell r="C144" t="str">
            <v>dzień turnieju.</v>
          </cell>
          <cell r="I144" t="str">
            <v>Nr meczu</v>
          </cell>
          <cell r="N144" t="str">
            <v>Godz.</v>
          </cell>
          <cell r="R144" t="str">
            <v>S. prow.</v>
          </cell>
          <cell r="AF144" t="str">
            <v>wygrany</v>
          </cell>
          <cell r="AG144" t="str">
            <v>przegrany</v>
          </cell>
        </row>
        <row r="145">
          <cell r="B145" t="str">
            <v>Boisko</v>
          </cell>
          <cell r="C145" t="str">
            <v>Gra</v>
          </cell>
          <cell r="I145">
            <v>21</v>
          </cell>
          <cell r="N145" t="str">
            <v>rozp.</v>
          </cell>
          <cell r="P145" t="str">
            <v>zak.</v>
          </cell>
          <cell r="R145" t="str">
            <v>S. serw.</v>
          </cell>
        </row>
        <row r="146">
          <cell r="A146">
            <v>21</v>
          </cell>
          <cell r="C146" t="str">
            <v>Runners Up</v>
          </cell>
          <cell r="H146">
            <v>14</v>
          </cell>
          <cell r="I146">
            <v>21</v>
          </cell>
          <cell r="J146">
            <v>12</v>
          </cell>
          <cell r="K146">
            <v>21</v>
          </cell>
          <cell r="R146">
            <v>0</v>
          </cell>
          <cell r="S146" t="str">
            <v>godz.10:40</v>
          </cell>
          <cell r="X146">
            <v>21</v>
          </cell>
          <cell r="Y146" t="str">
            <v>Runners Up</v>
          </cell>
          <cell r="Z146" t="str">
            <v>R0008</v>
          </cell>
          <cell r="AA146" t="str">
            <v/>
          </cell>
          <cell r="AB146" t="str">
            <v>K0033</v>
          </cell>
          <cell r="AC146" t="str">
            <v/>
          </cell>
          <cell r="AD146" t="str">
            <v>K0033</v>
          </cell>
          <cell r="AE146" t="str">
            <v/>
          </cell>
          <cell r="AF146" t="str">
            <v>21:14,21:12</v>
          </cell>
          <cell r="AG146" t="str">
            <v>14:21,12:21</v>
          </cell>
          <cell r="AH146" t="str">
            <v/>
          </cell>
          <cell r="AI146">
            <v>14</v>
          </cell>
          <cell r="AJ146">
            <v>21</v>
          </cell>
          <cell r="AK146">
            <v>12</v>
          </cell>
          <cell r="AL146">
            <v>21</v>
          </cell>
          <cell r="AM146">
            <v>0</v>
          </cell>
          <cell r="AN146">
            <v>0</v>
          </cell>
        </row>
        <row r="147">
          <cell r="A147" t="str">
            <v/>
          </cell>
          <cell r="B147" t="str">
            <v>Dawid RZESZUTEK (Mielec)</v>
          </cell>
          <cell r="H147" t="str">
            <v>R0008</v>
          </cell>
          <cell r="K147" t="str">
            <v>K0033</v>
          </cell>
          <cell r="N147" t="str">
            <v>Marek KAMIŃSKI (Nowa Dęba)</v>
          </cell>
        </row>
        <row r="148">
          <cell r="A148" t="str">
            <v/>
          </cell>
          <cell r="B148" t="str">
            <v/>
          </cell>
          <cell r="H148" t="str">
            <v/>
          </cell>
          <cell r="K148" t="str">
            <v/>
          </cell>
          <cell r="N148" t="str">
            <v/>
          </cell>
        </row>
        <row r="150">
          <cell r="B150" t="str">
            <v/>
          </cell>
          <cell r="K150" t="str">
            <v>zwycięzca(cy): 21:14,21:12</v>
          </cell>
        </row>
        <row r="151">
          <cell r="B151">
            <v>22</v>
          </cell>
          <cell r="C151" t="str">
            <v>dzień turnieju.</v>
          </cell>
          <cell r="I151" t="str">
            <v>Nr meczu</v>
          </cell>
          <cell r="N151" t="str">
            <v>Godz.</v>
          </cell>
          <cell r="R151" t="str">
            <v>S. prow.</v>
          </cell>
          <cell r="AF151" t="str">
            <v>wygrany</v>
          </cell>
          <cell r="AG151" t="str">
            <v>przegrany</v>
          </cell>
        </row>
        <row r="152">
          <cell r="B152" t="str">
            <v>Boisko</v>
          </cell>
          <cell r="C152" t="str">
            <v>Gra</v>
          </cell>
          <cell r="I152">
            <v>22</v>
          </cell>
          <cell r="N152" t="str">
            <v>rozp.</v>
          </cell>
          <cell r="P152" t="str">
            <v>zak.</v>
          </cell>
          <cell r="R152" t="str">
            <v>S. serw.</v>
          </cell>
        </row>
        <row r="153">
          <cell r="A153">
            <v>22</v>
          </cell>
          <cell r="C153" t="str">
            <v>Runners Up</v>
          </cell>
          <cell r="H153">
            <v>0</v>
          </cell>
          <cell r="I153">
            <v>21</v>
          </cell>
          <cell r="J153">
            <v>0</v>
          </cell>
          <cell r="K153">
            <v>21</v>
          </cell>
          <cell r="R153">
            <v>0</v>
          </cell>
          <cell r="S153" t="str">
            <v>godz.10:40</v>
          </cell>
          <cell r="X153">
            <v>22</v>
          </cell>
          <cell r="Y153" t="str">
            <v>Runners Up</v>
          </cell>
          <cell r="Z153" t="str">
            <v>D0003</v>
          </cell>
          <cell r="AA153" t="str">
            <v/>
          </cell>
          <cell r="AB153" t="str">
            <v>M0012</v>
          </cell>
          <cell r="AC153" t="str">
            <v/>
          </cell>
          <cell r="AD153" t="str">
            <v>M0012</v>
          </cell>
          <cell r="AE153" t="str">
            <v/>
          </cell>
          <cell r="AF153" t="str">
            <v>21:0,21:0</v>
          </cell>
          <cell r="AG153" t="str">
            <v>0:21,0:21</v>
          </cell>
          <cell r="AH153" t="str">
            <v/>
          </cell>
          <cell r="AI153">
            <v>0</v>
          </cell>
          <cell r="AJ153">
            <v>21</v>
          </cell>
          <cell r="AK153">
            <v>0</v>
          </cell>
          <cell r="AL153">
            <v>21</v>
          </cell>
          <cell r="AM153">
            <v>0</v>
          </cell>
          <cell r="AN153">
            <v>0</v>
          </cell>
        </row>
        <row r="154">
          <cell r="A154" t="str">
            <v/>
          </cell>
          <cell r="B154" t="str">
            <v>Łukasz DYCHA (Nowa Dęba)</v>
          </cell>
          <cell r="H154" t="str">
            <v>D0003</v>
          </cell>
          <cell r="K154" t="str">
            <v>M0012</v>
          </cell>
          <cell r="N154" t="str">
            <v>Jarosław MAZUR (Mielec)</v>
          </cell>
        </row>
        <row r="155">
          <cell r="A155" t="str">
            <v/>
          </cell>
          <cell r="B155" t="str">
            <v/>
          </cell>
          <cell r="H155" t="str">
            <v/>
          </cell>
          <cell r="K155" t="str">
            <v/>
          </cell>
          <cell r="N155" t="str">
            <v/>
          </cell>
        </row>
        <row r="157">
          <cell r="B157" t="str">
            <v/>
          </cell>
          <cell r="K157" t="str">
            <v>zwycięzca(cy): 21:0,21:0</v>
          </cell>
        </row>
        <row r="158">
          <cell r="B158">
            <v>23</v>
          </cell>
          <cell r="C158" t="str">
            <v>dzień turnieju.</v>
          </cell>
          <cell r="I158" t="str">
            <v>Nr meczu</v>
          </cell>
          <cell r="N158" t="str">
            <v>Godz.</v>
          </cell>
          <cell r="R158" t="str">
            <v>S. prow.</v>
          </cell>
          <cell r="AF158" t="str">
            <v>wygrany</v>
          </cell>
          <cell r="AG158" t="str">
            <v>przegrany</v>
          </cell>
        </row>
        <row r="159">
          <cell r="B159" t="str">
            <v>Boisko</v>
          </cell>
          <cell r="C159" t="str">
            <v>Gra</v>
          </cell>
          <cell r="I159">
            <v>23</v>
          </cell>
          <cell r="N159" t="str">
            <v>rozp.</v>
          </cell>
          <cell r="P159" t="str">
            <v>zak.</v>
          </cell>
          <cell r="R159" t="str">
            <v>S. serw.</v>
          </cell>
        </row>
        <row r="160">
          <cell r="A160">
            <v>23</v>
          </cell>
          <cell r="C160" t="str">
            <v>Runners Up</v>
          </cell>
          <cell r="H160">
            <v>25</v>
          </cell>
          <cell r="I160">
            <v>23</v>
          </cell>
          <cell r="J160">
            <v>21</v>
          </cell>
          <cell r="K160">
            <v>16</v>
          </cell>
          <cell r="R160">
            <v>0</v>
          </cell>
          <cell r="S160" t="str">
            <v>godz.10:40</v>
          </cell>
          <cell r="X160">
            <v>23</v>
          </cell>
          <cell r="Y160" t="str">
            <v>Runners Up</v>
          </cell>
          <cell r="Z160" t="str">
            <v>M0019</v>
          </cell>
          <cell r="AA160" t="str">
            <v/>
          </cell>
          <cell r="AB160" t="str">
            <v>K0014</v>
          </cell>
          <cell r="AC160" t="str">
            <v/>
          </cell>
          <cell r="AD160" t="str">
            <v>M0019</v>
          </cell>
          <cell r="AE160" t="str">
            <v/>
          </cell>
          <cell r="AF160" t="str">
            <v>25:23,21:16</v>
          </cell>
          <cell r="AG160" t="str">
            <v>23:25,16:21</v>
          </cell>
          <cell r="AH160" t="str">
            <v/>
          </cell>
          <cell r="AI160">
            <v>25</v>
          </cell>
          <cell r="AJ160">
            <v>23</v>
          </cell>
          <cell r="AK160">
            <v>21</v>
          </cell>
          <cell r="AL160">
            <v>16</v>
          </cell>
          <cell r="AM160">
            <v>0</v>
          </cell>
          <cell r="AN160">
            <v>0</v>
          </cell>
        </row>
        <row r="161">
          <cell r="A161" t="str">
            <v/>
          </cell>
          <cell r="B161" t="str">
            <v>Grzegorz MAC  (Rzeszów)</v>
          </cell>
          <cell r="H161" t="str">
            <v>M0019</v>
          </cell>
          <cell r="K161" t="str">
            <v>K0014</v>
          </cell>
          <cell r="N161" t="str">
            <v>Zdzisław KULA  (Tarnów)</v>
          </cell>
        </row>
        <row r="162">
          <cell r="A162" t="str">
            <v/>
          </cell>
          <cell r="B162" t="str">
            <v/>
          </cell>
          <cell r="H162" t="str">
            <v/>
          </cell>
          <cell r="K162" t="str">
            <v/>
          </cell>
          <cell r="N162" t="str">
            <v/>
          </cell>
        </row>
        <row r="164">
          <cell r="B164" t="str">
            <v>zwycięzca(cy): 25:23,21:16</v>
          </cell>
          <cell r="K164" t="str">
            <v/>
          </cell>
        </row>
        <row r="165">
          <cell r="B165">
            <v>24</v>
          </cell>
          <cell r="C165" t="str">
            <v>dzień turnieju.</v>
          </cell>
          <cell r="I165" t="str">
            <v>Nr meczu</v>
          </cell>
          <cell r="N165" t="str">
            <v>Godz.</v>
          </cell>
          <cell r="R165" t="str">
            <v>S. prow.</v>
          </cell>
          <cell r="AF165" t="str">
            <v>wygrany</v>
          </cell>
          <cell r="AG165" t="str">
            <v>przegrany</v>
          </cell>
        </row>
        <row r="166">
          <cell r="B166" t="str">
            <v>Boisko</v>
          </cell>
          <cell r="C166" t="str">
            <v>Gra</v>
          </cell>
          <cell r="I166">
            <v>24</v>
          </cell>
          <cell r="N166" t="str">
            <v>rozp.</v>
          </cell>
          <cell r="P166" t="str">
            <v>zak.</v>
          </cell>
          <cell r="R166" t="str">
            <v>S. serw.</v>
          </cell>
        </row>
        <row r="167">
          <cell r="A167">
            <v>24</v>
          </cell>
          <cell r="C167" t="str">
            <v>Runners Up</v>
          </cell>
          <cell r="H167">
            <v>21</v>
          </cell>
          <cell r="I167">
            <v>2</v>
          </cell>
          <cell r="J167">
            <v>21</v>
          </cell>
          <cell r="K167">
            <v>12</v>
          </cell>
          <cell r="R167">
            <v>0</v>
          </cell>
          <cell r="S167" t="str">
            <v>godz.10:40</v>
          </cell>
          <cell r="X167">
            <v>24</v>
          </cell>
          <cell r="Y167" t="str">
            <v>Runners Up</v>
          </cell>
          <cell r="Z167" t="str">
            <v>B0009</v>
          </cell>
          <cell r="AA167" t="str">
            <v/>
          </cell>
          <cell r="AB167" t="str">
            <v>P0019</v>
          </cell>
          <cell r="AC167" t="str">
            <v/>
          </cell>
          <cell r="AD167" t="str">
            <v>B0009</v>
          </cell>
          <cell r="AE167" t="str">
            <v/>
          </cell>
          <cell r="AF167" t="str">
            <v>21:2,21:12</v>
          </cell>
          <cell r="AG167" t="str">
            <v>2:21,12:21</v>
          </cell>
          <cell r="AH167" t="str">
            <v/>
          </cell>
          <cell r="AI167">
            <v>21</v>
          </cell>
          <cell r="AJ167">
            <v>2</v>
          </cell>
          <cell r="AK167">
            <v>21</v>
          </cell>
          <cell r="AL167">
            <v>12</v>
          </cell>
          <cell r="AM167">
            <v>0</v>
          </cell>
          <cell r="AN167">
            <v>0</v>
          </cell>
        </row>
        <row r="168">
          <cell r="A168" t="str">
            <v/>
          </cell>
          <cell r="B168" t="str">
            <v>Adam BUNIO (Nowa Dęba)</v>
          </cell>
          <cell r="H168" t="str">
            <v>B0009</v>
          </cell>
          <cell r="K168" t="str">
            <v>P0019</v>
          </cell>
          <cell r="N168" t="str">
            <v>Patryk PIETRAS (Mielec)</v>
          </cell>
        </row>
        <row r="169">
          <cell r="A169" t="str">
            <v/>
          </cell>
          <cell r="B169" t="str">
            <v/>
          </cell>
          <cell r="H169" t="str">
            <v/>
          </cell>
          <cell r="K169" t="str">
            <v/>
          </cell>
          <cell r="N169" t="str">
            <v/>
          </cell>
        </row>
        <row r="171">
          <cell r="B171" t="str">
            <v>zwycięzca(cy): 21:2,21:12</v>
          </cell>
          <cell r="K171" t="str">
            <v/>
          </cell>
        </row>
        <row r="172">
          <cell r="B172">
            <v>25</v>
          </cell>
          <cell r="C172" t="str">
            <v>dzień turnieju.</v>
          </cell>
          <cell r="I172" t="str">
            <v>Nr meczu</v>
          </cell>
          <cell r="N172" t="str">
            <v>Godz.</v>
          </cell>
          <cell r="R172" t="str">
            <v>S. prow.</v>
          </cell>
          <cell r="AF172" t="str">
            <v>wygrany</v>
          </cell>
          <cell r="AG172" t="str">
            <v>przegrany</v>
          </cell>
        </row>
        <row r="173">
          <cell r="B173" t="str">
            <v>Boisko</v>
          </cell>
          <cell r="C173" t="str">
            <v>Gra</v>
          </cell>
          <cell r="I173">
            <v>25</v>
          </cell>
          <cell r="N173" t="str">
            <v>rozp.</v>
          </cell>
          <cell r="P173" t="str">
            <v>zak.</v>
          </cell>
          <cell r="R173" t="str">
            <v>S. serw.</v>
          </cell>
        </row>
        <row r="174">
          <cell r="A174">
            <v>25</v>
          </cell>
          <cell r="C174" t="str">
            <v>Runners Up</v>
          </cell>
          <cell r="H174">
            <v>21</v>
          </cell>
          <cell r="I174">
            <v>16</v>
          </cell>
          <cell r="J174">
            <v>21</v>
          </cell>
          <cell r="K174">
            <v>6</v>
          </cell>
          <cell r="R174">
            <v>0</v>
          </cell>
          <cell r="S174" t="str">
            <v>godz.11:00</v>
          </cell>
          <cell r="X174">
            <v>25</v>
          </cell>
          <cell r="Y174" t="str">
            <v>Runners Up</v>
          </cell>
          <cell r="Z174" t="str">
            <v>B0006</v>
          </cell>
          <cell r="AA174" t="str">
            <v/>
          </cell>
          <cell r="AB174" t="str">
            <v>M0019</v>
          </cell>
          <cell r="AC174" t="str">
            <v/>
          </cell>
          <cell r="AD174" t="str">
            <v>B0006</v>
          </cell>
          <cell r="AE174" t="str">
            <v/>
          </cell>
          <cell r="AF174" t="str">
            <v>21:16,21:6</v>
          </cell>
          <cell r="AG174" t="str">
            <v>16:21,6:21</v>
          </cell>
          <cell r="AH174" t="str">
            <v/>
          </cell>
          <cell r="AI174">
            <v>21</v>
          </cell>
          <cell r="AJ174">
            <v>16</v>
          </cell>
          <cell r="AK174">
            <v>21</v>
          </cell>
          <cell r="AL174">
            <v>6</v>
          </cell>
          <cell r="AM174">
            <v>0</v>
          </cell>
          <cell r="AN174">
            <v>0</v>
          </cell>
        </row>
        <row r="175">
          <cell r="A175" t="str">
            <v/>
          </cell>
          <cell r="B175" t="str">
            <v>Adrian BOGDAN (Nowa Dęba)</v>
          </cell>
          <cell r="H175" t="str">
            <v>B0006</v>
          </cell>
          <cell r="K175" t="str">
            <v>M0019</v>
          </cell>
          <cell r="N175" t="str">
            <v>Grzegorz MAC  (Rzeszów)</v>
          </cell>
        </row>
        <row r="176">
          <cell r="A176" t="str">
            <v/>
          </cell>
          <cell r="B176" t="str">
            <v/>
          </cell>
          <cell r="H176" t="str">
            <v/>
          </cell>
          <cell r="K176" t="str">
            <v/>
          </cell>
          <cell r="N176" t="str">
            <v/>
          </cell>
        </row>
        <row r="178">
          <cell r="B178" t="str">
            <v>zwycięzca(cy): 21:16,21:6</v>
          </cell>
          <cell r="K178" t="str">
            <v/>
          </cell>
        </row>
        <row r="179">
          <cell r="B179">
            <v>26</v>
          </cell>
          <cell r="C179" t="str">
            <v>dzień turnieju.</v>
          </cell>
          <cell r="I179" t="str">
            <v>Nr meczu</v>
          </cell>
          <cell r="N179" t="str">
            <v>Godz.</v>
          </cell>
          <cell r="R179" t="str">
            <v>S. prow.</v>
          </cell>
          <cell r="AF179" t="str">
            <v>wygrany</v>
          </cell>
          <cell r="AG179" t="str">
            <v>przegrany</v>
          </cell>
        </row>
        <row r="180">
          <cell r="B180" t="str">
            <v>Boisko</v>
          </cell>
          <cell r="C180" t="str">
            <v>Gra</v>
          </cell>
          <cell r="I180">
            <v>26</v>
          </cell>
          <cell r="N180" t="str">
            <v>rozp.</v>
          </cell>
          <cell r="P180" t="str">
            <v>zak.</v>
          </cell>
          <cell r="R180" t="str">
            <v>S. serw.</v>
          </cell>
        </row>
        <row r="181">
          <cell r="A181">
            <v>26</v>
          </cell>
          <cell r="C181" t="str">
            <v>Runners Up</v>
          </cell>
          <cell r="H181">
            <v>21</v>
          </cell>
          <cell r="I181">
            <v>13</v>
          </cell>
          <cell r="J181">
            <v>21</v>
          </cell>
          <cell r="K181">
            <v>16</v>
          </cell>
          <cell r="R181">
            <v>0</v>
          </cell>
          <cell r="S181" t="str">
            <v>godz.11:00</v>
          </cell>
          <cell r="X181">
            <v>26</v>
          </cell>
          <cell r="Y181" t="str">
            <v>Runners Up</v>
          </cell>
          <cell r="Z181" t="str">
            <v>M0012</v>
          </cell>
          <cell r="AA181" t="str">
            <v/>
          </cell>
          <cell r="AB181" t="str">
            <v>R0008</v>
          </cell>
          <cell r="AC181" t="str">
            <v/>
          </cell>
          <cell r="AD181" t="str">
            <v>M0012</v>
          </cell>
          <cell r="AE181" t="str">
            <v/>
          </cell>
          <cell r="AF181" t="str">
            <v>21:13,21:16</v>
          </cell>
          <cell r="AG181" t="str">
            <v>13:21,16:21</v>
          </cell>
          <cell r="AH181" t="str">
            <v/>
          </cell>
          <cell r="AI181">
            <v>21</v>
          </cell>
          <cell r="AJ181">
            <v>13</v>
          </cell>
          <cell r="AK181">
            <v>21</v>
          </cell>
          <cell r="AL181">
            <v>16</v>
          </cell>
          <cell r="AM181">
            <v>0</v>
          </cell>
          <cell r="AN181">
            <v>0</v>
          </cell>
        </row>
        <row r="182">
          <cell r="A182" t="str">
            <v/>
          </cell>
          <cell r="B182" t="str">
            <v>Jarosław MAZUR (Mielec)</v>
          </cell>
          <cell r="H182" t="str">
            <v>M0012</v>
          </cell>
          <cell r="K182" t="str">
            <v>R0008</v>
          </cell>
          <cell r="N182" t="str">
            <v>Dawid RZESZUTEK (Mielec)</v>
          </cell>
        </row>
        <row r="183">
          <cell r="A183" t="str">
            <v/>
          </cell>
          <cell r="B183" t="str">
            <v/>
          </cell>
          <cell r="H183" t="str">
            <v/>
          </cell>
          <cell r="K183" t="str">
            <v/>
          </cell>
          <cell r="N183" t="str">
            <v/>
          </cell>
        </row>
        <row r="185">
          <cell r="B185" t="str">
            <v>zwycięzca(cy): 21:13,21:16</v>
          </cell>
          <cell r="K185" t="str">
            <v/>
          </cell>
        </row>
        <row r="186">
          <cell r="B186">
            <v>27</v>
          </cell>
          <cell r="C186" t="str">
            <v>dzień turnieju.</v>
          </cell>
          <cell r="I186" t="str">
            <v>Nr meczu</v>
          </cell>
          <cell r="N186" t="str">
            <v>Godz.</v>
          </cell>
          <cell r="R186" t="str">
            <v>S. prow.</v>
          </cell>
          <cell r="AF186" t="str">
            <v>wygrany</v>
          </cell>
          <cell r="AG186" t="str">
            <v>przegrany</v>
          </cell>
        </row>
        <row r="187">
          <cell r="B187" t="str">
            <v>Boisko</v>
          </cell>
          <cell r="C187" t="str">
            <v>Gra</v>
          </cell>
          <cell r="I187">
            <v>27</v>
          </cell>
          <cell r="N187" t="str">
            <v>rozp.</v>
          </cell>
          <cell r="P187" t="str">
            <v>zak.</v>
          </cell>
          <cell r="R187" t="str">
            <v>S. serw.</v>
          </cell>
        </row>
        <row r="188">
          <cell r="A188">
            <v>27</v>
          </cell>
          <cell r="C188" t="str">
            <v>Runners Up</v>
          </cell>
          <cell r="H188">
            <v>21</v>
          </cell>
          <cell r="I188">
            <v>16</v>
          </cell>
          <cell r="J188">
            <v>21</v>
          </cell>
          <cell r="K188">
            <v>14</v>
          </cell>
          <cell r="R188">
            <v>0</v>
          </cell>
          <cell r="S188" t="str">
            <v>godz.11:00</v>
          </cell>
          <cell r="X188">
            <v>27</v>
          </cell>
          <cell r="Y188" t="str">
            <v>Runners Up</v>
          </cell>
          <cell r="Z188" t="str">
            <v>N0002</v>
          </cell>
          <cell r="AA188" t="str">
            <v/>
          </cell>
          <cell r="AB188" t="str">
            <v>M0008</v>
          </cell>
          <cell r="AC188" t="str">
            <v/>
          </cell>
          <cell r="AD188" t="str">
            <v>N0002</v>
          </cell>
          <cell r="AE188" t="str">
            <v/>
          </cell>
          <cell r="AF188" t="str">
            <v>21:16,21:14</v>
          </cell>
          <cell r="AG188" t="str">
            <v>16:21,14:21</v>
          </cell>
          <cell r="AH188" t="str">
            <v/>
          </cell>
          <cell r="AI188">
            <v>21</v>
          </cell>
          <cell r="AJ188">
            <v>16</v>
          </cell>
          <cell r="AK188">
            <v>21</v>
          </cell>
          <cell r="AL188">
            <v>14</v>
          </cell>
          <cell r="AM188">
            <v>0</v>
          </cell>
          <cell r="AN188">
            <v>0</v>
          </cell>
        </row>
        <row r="189">
          <cell r="A189" t="str">
            <v/>
          </cell>
          <cell r="B189" t="str">
            <v>Robert NOWAK (Mielec)</v>
          </cell>
          <cell r="H189" t="str">
            <v>N0002</v>
          </cell>
          <cell r="K189" t="str">
            <v>M0008</v>
          </cell>
          <cell r="N189" t="str">
            <v>Tadeusz MICHALIK (Tarnów)</v>
          </cell>
        </row>
        <row r="190">
          <cell r="A190" t="str">
            <v/>
          </cell>
          <cell r="B190" t="str">
            <v/>
          </cell>
          <cell r="H190" t="str">
            <v/>
          </cell>
          <cell r="K190" t="str">
            <v/>
          </cell>
          <cell r="N190" t="str">
            <v/>
          </cell>
        </row>
        <row r="192">
          <cell r="B192" t="str">
            <v>zwycięzca(cy): 21:16,21:14</v>
          </cell>
          <cell r="K192" t="str">
            <v/>
          </cell>
        </row>
        <row r="193">
          <cell r="B193">
            <v>28</v>
          </cell>
          <cell r="C193" t="str">
            <v>dzień turnieju.</v>
          </cell>
          <cell r="I193" t="str">
            <v>Nr meczu</v>
          </cell>
          <cell r="N193" t="str">
            <v>Godz.</v>
          </cell>
          <cell r="R193" t="str">
            <v>S. prow.</v>
          </cell>
          <cell r="AF193" t="str">
            <v>wygrany</v>
          </cell>
          <cell r="AG193" t="str">
            <v>przegrany</v>
          </cell>
        </row>
        <row r="194">
          <cell r="B194" t="str">
            <v>Boisko</v>
          </cell>
          <cell r="C194" t="str">
            <v>Gra</v>
          </cell>
          <cell r="I194">
            <v>28</v>
          </cell>
          <cell r="N194" t="str">
            <v>rozp.</v>
          </cell>
          <cell r="P194" t="str">
            <v>zak.</v>
          </cell>
          <cell r="R194" t="str">
            <v>S. serw.</v>
          </cell>
        </row>
        <row r="195">
          <cell r="A195">
            <v>28</v>
          </cell>
          <cell r="C195" t="str">
            <v>Runners Up</v>
          </cell>
          <cell r="H195">
            <v>14</v>
          </cell>
          <cell r="I195">
            <v>21</v>
          </cell>
          <cell r="J195">
            <v>15</v>
          </cell>
          <cell r="K195">
            <v>21</v>
          </cell>
          <cell r="R195">
            <v>0</v>
          </cell>
          <cell r="S195" t="str">
            <v>godz.11:00</v>
          </cell>
          <cell r="X195">
            <v>28</v>
          </cell>
          <cell r="Y195" t="str">
            <v>Runners Up</v>
          </cell>
          <cell r="Z195" t="str">
            <v>R0003</v>
          </cell>
          <cell r="AA195" t="str">
            <v/>
          </cell>
          <cell r="AB195" t="str">
            <v>K0033</v>
          </cell>
          <cell r="AC195" t="str">
            <v/>
          </cell>
          <cell r="AD195" t="str">
            <v>K0033</v>
          </cell>
          <cell r="AE195" t="str">
            <v/>
          </cell>
          <cell r="AF195" t="str">
            <v>21:14,21:15</v>
          </cell>
          <cell r="AG195" t="str">
            <v>14:21,15:21</v>
          </cell>
          <cell r="AH195" t="str">
            <v/>
          </cell>
          <cell r="AI195">
            <v>14</v>
          </cell>
          <cell r="AJ195">
            <v>21</v>
          </cell>
          <cell r="AK195">
            <v>15</v>
          </cell>
          <cell r="AL195">
            <v>21</v>
          </cell>
          <cell r="AM195">
            <v>0</v>
          </cell>
          <cell r="AN195">
            <v>0</v>
          </cell>
        </row>
        <row r="196">
          <cell r="A196" t="str">
            <v/>
          </cell>
          <cell r="B196" t="str">
            <v>Dawid RZĄSA (Nowa Dęba)</v>
          </cell>
          <cell r="H196" t="str">
            <v>R0003</v>
          </cell>
          <cell r="K196" t="str">
            <v>K0033</v>
          </cell>
          <cell r="N196" t="str">
            <v>Marek KAMIŃSKI (Nowa Dęba)</v>
          </cell>
        </row>
        <row r="197">
          <cell r="A197" t="str">
            <v/>
          </cell>
          <cell r="B197" t="str">
            <v/>
          </cell>
          <cell r="H197" t="str">
            <v/>
          </cell>
          <cell r="K197" t="str">
            <v/>
          </cell>
          <cell r="N197" t="str">
            <v/>
          </cell>
        </row>
        <row r="199">
          <cell r="B199" t="str">
            <v/>
          </cell>
          <cell r="K199" t="str">
            <v>zwycięzca(cy): 21:14,21:15</v>
          </cell>
        </row>
        <row r="200">
          <cell r="B200">
            <v>29</v>
          </cell>
          <cell r="C200" t="str">
            <v>dzień turnieju.</v>
          </cell>
          <cell r="I200" t="str">
            <v>Nr meczu</v>
          </cell>
          <cell r="N200" t="str">
            <v>Godz.</v>
          </cell>
          <cell r="R200" t="str">
            <v>S. prow.</v>
          </cell>
          <cell r="AF200" t="str">
            <v>wygrany</v>
          </cell>
          <cell r="AG200" t="str">
            <v>przegrany</v>
          </cell>
        </row>
        <row r="201">
          <cell r="B201" t="str">
            <v>Boisko</v>
          </cell>
          <cell r="C201" t="str">
            <v>Gra</v>
          </cell>
          <cell r="I201">
            <v>29</v>
          </cell>
          <cell r="N201" t="str">
            <v>rozp.</v>
          </cell>
          <cell r="P201" t="str">
            <v>zak.</v>
          </cell>
          <cell r="R201" t="str">
            <v>S. serw.</v>
          </cell>
        </row>
        <row r="202">
          <cell r="A202">
            <v>29</v>
          </cell>
          <cell r="C202" t="str">
            <v>Runners Up</v>
          </cell>
          <cell r="H202">
            <v>21</v>
          </cell>
          <cell r="I202">
            <v>6</v>
          </cell>
          <cell r="J202">
            <v>19</v>
          </cell>
          <cell r="K202">
            <v>21</v>
          </cell>
          <cell r="L202">
            <v>21</v>
          </cell>
          <cell r="M202">
            <v>8</v>
          </cell>
          <cell r="R202">
            <v>0</v>
          </cell>
          <cell r="S202" t="str">
            <v>godz.11:20</v>
          </cell>
          <cell r="X202">
            <v>29</v>
          </cell>
          <cell r="Y202" t="str">
            <v>Runners Up</v>
          </cell>
          <cell r="Z202" t="str">
            <v>P0003</v>
          </cell>
          <cell r="AA202" t="str">
            <v/>
          </cell>
          <cell r="AB202" t="str">
            <v>B0006</v>
          </cell>
          <cell r="AC202" t="str">
            <v/>
          </cell>
          <cell r="AD202" t="str">
            <v>P0003</v>
          </cell>
          <cell r="AE202" t="str">
            <v/>
          </cell>
          <cell r="AF202" t="str">
            <v>21:6,19:21,21:8</v>
          </cell>
          <cell r="AG202" t="str">
            <v>6:21,21:19,8:21</v>
          </cell>
          <cell r="AH202" t="str">
            <v/>
          </cell>
          <cell r="AI202">
            <v>21</v>
          </cell>
          <cell r="AJ202">
            <v>6</v>
          </cell>
          <cell r="AK202">
            <v>19</v>
          </cell>
          <cell r="AL202">
            <v>21</v>
          </cell>
          <cell r="AM202">
            <v>21</v>
          </cell>
          <cell r="AN202">
            <v>8</v>
          </cell>
        </row>
        <row r="203">
          <cell r="A203" t="str">
            <v/>
          </cell>
          <cell r="B203" t="str">
            <v>Łukasz PIENIĄŻEK (Rzeszów)</v>
          </cell>
          <cell r="H203" t="str">
            <v>P0003</v>
          </cell>
          <cell r="K203" t="str">
            <v>B0006</v>
          </cell>
          <cell r="N203" t="str">
            <v>Adrian BOGDAN (Nowa Dęba)</v>
          </cell>
        </row>
        <row r="204">
          <cell r="A204" t="str">
            <v/>
          </cell>
          <cell r="B204" t="str">
            <v/>
          </cell>
          <cell r="H204" t="str">
            <v/>
          </cell>
          <cell r="K204" t="str">
            <v/>
          </cell>
          <cell r="N204" t="str">
            <v/>
          </cell>
        </row>
        <row r="206">
          <cell r="B206" t="str">
            <v>zwycięzca(cy): 21:6,19:21,21:8</v>
          </cell>
          <cell r="K206" t="str">
            <v/>
          </cell>
        </row>
        <row r="207">
          <cell r="B207">
            <v>30</v>
          </cell>
          <cell r="C207" t="str">
            <v>dzień turnieju.</v>
          </cell>
          <cell r="I207" t="str">
            <v>Nr meczu</v>
          </cell>
          <cell r="N207" t="str">
            <v>Godz.</v>
          </cell>
          <cell r="R207" t="str">
            <v>S. prow.</v>
          </cell>
          <cell r="AF207" t="str">
            <v>wygrany</v>
          </cell>
          <cell r="AG207" t="str">
            <v>przegrany</v>
          </cell>
        </row>
        <row r="208">
          <cell r="B208" t="str">
            <v>Boisko</v>
          </cell>
          <cell r="C208" t="str">
            <v>Gra</v>
          </cell>
          <cell r="I208">
            <v>30</v>
          </cell>
          <cell r="N208" t="str">
            <v>rozp.</v>
          </cell>
          <cell r="P208" t="str">
            <v>zak.</v>
          </cell>
          <cell r="R208" t="str">
            <v>S. serw.</v>
          </cell>
        </row>
        <row r="209">
          <cell r="A209">
            <v>30</v>
          </cell>
          <cell r="C209" t="str">
            <v>Runners Up</v>
          </cell>
          <cell r="H209">
            <v>15</v>
          </cell>
          <cell r="I209">
            <v>21</v>
          </cell>
          <cell r="J209">
            <v>10</v>
          </cell>
          <cell r="K209">
            <v>21</v>
          </cell>
          <cell r="R209">
            <v>0</v>
          </cell>
          <cell r="S209" t="str">
            <v>godz.11:20</v>
          </cell>
          <cell r="X209">
            <v>30</v>
          </cell>
          <cell r="Y209" t="str">
            <v>Runners Up</v>
          </cell>
          <cell r="Z209" t="str">
            <v>K0029</v>
          </cell>
          <cell r="AA209" t="str">
            <v/>
          </cell>
          <cell r="AB209" t="str">
            <v>M0012</v>
          </cell>
          <cell r="AC209" t="str">
            <v/>
          </cell>
          <cell r="AD209" t="str">
            <v>M0012</v>
          </cell>
          <cell r="AE209" t="str">
            <v/>
          </cell>
          <cell r="AF209" t="str">
            <v>21:15,21:10</v>
          </cell>
          <cell r="AG209" t="str">
            <v>15:21,10:21</v>
          </cell>
          <cell r="AH209" t="str">
            <v/>
          </cell>
          <cell r="AI209">
            <v>15</v>
          </cell>
          <cell r="AJ209">
            <v>21</v>
          </cell>
          <cell r="AK209">
            <v>10</v>
          </cell>
          <cell r="AL209">
            <v>21</v>
          </cell>
          <cell r="AM209">
            <v>0</v>
          </cell>
          <cell r="AN209">
            <v>0</v>
          </cell>
        </row>
        <row r="210">
          <cell r="A210" t="str">
            <v/>
          </cell>
          <cell r="B210" t="str">
            <v>Patryk KOPEĆ (Nowa Dęba)</v>
          </cell>
          <cell r="H210" t="str">
            <v>K0029</v>
          </cell>
          <cell r="K210" t="str">
            <v>M0012</v>
          </cell>
          <cell r="N210" t="str">
            <v>Jarosław MAZUR (Mielec)</v>
          </cell>
        </row>
        <row r="211">
          <cell r="A211" t="str">
            <v/>
          </cell>
          <cell r="B211" t="str">
            <v/>
          </cell>
          <cell r="H211" t="str">
            <v/>
          </cell>
          <cell r="K211" t="str">
            <v/>
          </cell>
          <cell r="N211" t="str">
            <v/>
          </cell>
        </row>
        <row r="213">
          <cell r="B213" t="str">
            <v/>
          </cell>
          <cell r="K213" t="str">
            <v>zwycięzca(cy): 21:15,21:10</v>
          </cell>
        </row>
        <row r="214">
          <cell r="B214">
            <v>31</v>
          </cell>
          <cell r="C214" t="str">
            <v>dzień turnieju.</v>
          </cell>
          <cell r="I214" t="str">
            <v>Nr meczu</v>
          </cell>
          <cell r="N214" t="str">
            <v>Godz.</v>
          </cell>
          <cell r="R214" t="str">
            <v>S. prow.</v>
          </cell>
          <cell r="AF214" t="str">
            <v>wygrany</v>
          </cell>
          <cell r="AG214" t="str">
            <v>przegrany</v>
          </cell>
        </row>
        <row r="215">
          <cell r="B215" t="str">
            <v>Boisko</v>
          </cell>
          <cell r="C215" t="str">
            <v>Gra</v>
          </cell>
          <cell r="I215">
            <v>31</v>
          </cell>
          <cell r="N215" t="str">
            <v>rozp.</v>
          </cell>
          <cell r="P215" t="str">
            <v>zak.</v>
          </cell>
          <cell r="R215" t="str">
            <v>S. serw.</v>
          </cell>
        </row>
        <row r="216">
          <cell r="A216">
            <v>31</v>
          </cell>
          <cell r="C216" t="str">
            <v>Runners Up</v>
          </cell>
          <cell r="H216">
            <v>21</v>
          </cell>
          <cell r="I216">
            <v>15</v>
          </cell>
          <cell r="J216">
            <v>19</v>
          </cell>
          <cell r="K216">
            <v>21</v>
          </cell>
          <cell r="L216">
            <v>20</v>
          </cell>
          <cell r="M216">
            <v>22</v>
          </cell>
          <cell r="R216">
            <v>0</v>
          </cell>
          <cell r="S216" t="str">
            <v>godz.11:20</v>
          </cell>
          <cell r="X216">
            <v>31</v>
          </cell>
          <cell r="Y216" t="str">
            <v>Runners Up</v>
          </cell>
          <cell r="Z216" t="str">
            <v>N0002</v>
          </cell>
          <cell r="AA216" t="str">
            <v/>
          </cell>
          <cell r="AB216" t="str">
            <v>W0010</v>
          </cell>
          <cell r="AC216" t="str">
            <v/>
          </cell>
          <cell r="AD216" t="str">
            <v>W0010</v>
          </cell>
          <cell r="AE216" t="str">
            <v/>
          </cell>
          <cell r="AF216" t="str">
            <v>15:21,21:19,22:20</v>
          </cell>
          <cell r="AG216" t="str">
            <v>21:15,19:21,20:22</v>
          </cell>
          <cell r="AH216" t="str">
            <v/>
          </cell>
          <cell r="AI216">
            <v>21</v>
          </cell>
          <cell r="AJ216">
            <v>15</v>
          </cell>
          <cell r="AK216">
            <v>19</v>
          </cell>
          <cell r="AL216">
            <v>21</v>
          </cell>
          <cell r="AM216">
            <v>20</v>
          </cell>
          <cell r="AN216">
            <v>22</v>
          </cell>
        </row>
        <row r="217">
          <cell r="A217" t="str">
            <v/>
          </cell>
          <cell r="B217" t="str">
            <v>Robert NOWAK (Mielec)</v>
          </cell>
          <cell r="H217" t="str">
            <v>N0002</v>
          </cell>
          <cell r="K217" t="str">
            <v>W0010</v>
          </cell>
          <cell r="N217" t="str">
            <v>Dariusz WALAS (Rzeszów)</v>
          </cell>
        </row>
        <row r="218">
          <cell r="A218" t="str">
            <v/>
          </cell>
          <cell r="B218" t="str">
            <v/>
          </cell>
          <cell r="H218" t="str">
            <v/>
          </cell>
          <cell r="K218" t="str">
            <v/>
          </cell>
          <cell r="N218" t="str">
            <v/>
          </cell>
        </row>
        <row r="220">
          <cell r="B220" t="str">
            <v/>
          </cell>
          <cell r="K220" t="str">
            <v>zwycięzca(cy): 15:21,21:19,22:20</v>
          </cell>
        </row>
        <row r="221">
          <cell r="B221">
            <v>32</v>
          </cell>
          <cell r="C221" t="str">
            <v>dzień turnieju.</v>
          </cell>
          <cell r="I221" t="str">
            <v>Nr meczu</v>
          </cell>
          <cell r="N221" t="str">
            <v>Godz.</v>
          </cell>
          <cell r="R221" t="str">
            <v>S. prow.</v>
          </cell>
          <cell r="AF221" t="str">
            <v>wygrany</v>
          </cell>
          <cell r="AG221" t="str">
            <v>przegrany</v>
          </cell>
        </row>
        <row r="222">
          <cell r="B222" t="str">
            <v>Boisko</v>
          </cell>
          <cell r="C222" t="str">
            <v>Gra</v>
          </cell>
          <cell r="I222">
            <v>32</v>
          </cell>
          <cell r="N222" t="str">
            <v>rozp.</v>
          </cell>
          <cell r="P222" t="str">
            <v>zak.</v>
          </cell>
          <cell r="R222" t="str">
            <v>S. serw.</v>
          </cell>
        </row>
        <row r="223">
          <cell r="A223">
            <v>32</v>
          </cell>
          <cell r="C223" t="str">
            <v>Runners Up</v>
          </cell>
          <cell r="H223">
            <v>21</v>
          </cell>
          <cell r="I223">
            <v>12</v>
          </cell>
          <cell r="J223">
            <v>21</v>
          </cell>
          <cell r="K223">
            <v>9</v>
          </cell>
          <cell r="R223">
            <v>0</v>
          </cell>
          <cell r="S223" t="str">
            <v>godz.11:20</v>
          </cell>
          <cell r="X223">
            <v>32</v>
          </cell>
          <cell r="Y223" t="str">
            <v>Runners Up</v>
          </cell>
          <cell r="Z223" t="str">
            <v>K0033</v>
          </cell>
          <cell r="AA223" t="str">
            <v/>
          </cell>
          <cell r="AB223" t="str">
            <v>B0009</v>
          </cell>
          <cell r="AC223" t="str">
            <v/>
          </cell>
          <cell r="AD223" t="str">
            <v>K0033</v>
          </cell>
          <cell r="AE223" t="str">
            <v/>
          </cell>
          <cell r="AF223" t="str">
            <v>21:12,21:9</v>
          </cell>
          <cell r="AG223" t="str">
            <v>12:21,9:21</v>
          </cell>
          <cell r="AH223" t="str">
            <v/>
          </cell>
          <cell r="AI223">
            <v>21</v>
          </cell>
          <cell r="AJ223">
            <v>12</v>
          </cell>
          <cell r="AK223">
            <v>21</v>
          </cell>
          <cell r="AL223">
            <v>9</v>
          </cell>
          <cell r="AM223">
            <v>0</v>
          </cell>
          <cell r="AN223">
            <v>0</v>
          </cell>
        </row>
        <row r="224">
          <cell r="A224" t="str">
            <v/>
          </cell>
          <cell r="B224" t="str">
            <v>Marek KAMIŃSKI (Nowa Dęba)</v>
          </cell>
          <cell r="H224" t="str">
            <v>K0033</v>
          </cell>
          <cell r="K224" t="str">
            <v>B0009</v>
          </cell>
          <cell r="N224" t="str">
            <v>Adam BUNIO (Nowa Dęba)</v>
          </cell>
        </row>
        <row r="225">
          <cell r="A225" t="str">
            <v/>
          </cell>
          <cell r="B225" t="str">
            <v/>
          </cell>
          <cell r="H225" t="str">
            <v/>
          </cell>
          <cell r="K225" t="str">
            <v/>
          </cell>
          <cell r="N225" t="str">
            <v/>
          </cell>
        </row>
        <row r="227">
          <cell r="B227" t="str">
            <v>zwycięzca(cy): 21:12,21:9</v>
          </cell>
          <cell r="K227" t="str">
            <v/>
          </cell>
        </row>
        <row r="228">
          <cell r="B228">
            <v>33</v>
          </cell>
          <cell r="C228" t="str">
            <v>dzień turnieju.</v>
          </cell>
          <cell r="I228" t="str">
            <v>Nr meczu</v>
          </cell>
          <cell r="N228" t="str">
            <v>Godz.</v>
          </cell>
          <cell r="R228" t="str">
            <v>S. prow.</v>
          </cell>
          <cell r="AF228" t="str">
            <v>wygrany</v>
          </cell>
          <cell r="AG228" t="str">
            <v>przegrany</v>
          </cell>
        </row>
        <row r="229">
          <cell r="B229" t="str">
            <v>Boisko</v>
          </cell>
          <cell r="C229" t="str">
            <v>Gra</v>
          </cell>
          <cell r="I229">
            <v>33</v>
          </cell>
          <cell r="N229" t="str">
            <v>rozp.</v>
          </cell>
          <cell r="P229" t="str">
            <v>zak.</v>
          </cell>
          <cell r="R229" t="str">
            <v>S. serw.</v>
          </cell>
        </row>
        <row r="230">
          <cell r="A230">
            <v>33</v>
          </cell>
          <cell r="C230" t="str">
            <v>Runners Up</v>
          </cell>
          <cell r="H230">
            <v>23</v>
          </cell>
          <cell r="I230">
            <v>21</v>
          </cell>
          <cell r="J230">
            <v>21</v>
          </cell>
          <cell r="K230">
            <v>9</v>
          </cell>
          <cell r="R230">
            <v>0</v>
          </cell>
          <cell r="S230" t="str">
            <v>godz.11:40</v>
          </cell>
          <cell r="X230">
            <v>33</v>
          </cell>
          <cell r="Y230" t="str">
            <v>Runners Up</v>
          </cell>
          <cell r="Z230" t="str">
            <v>P0003</v>
          </cell>
          <cell r="AA230" t="str">
            <v/>
          </cell>
          <cell r="AB230" t="str">
            <v>M0012</v>
          </cell>
          <cell r="AC230" t="str">
            <v/>
          </cell>
          <cell r="AD230" t="str">
            <v>P0003</v>
          </cell>
          <cell r="AE230" t="str">
            <v/>
          </cell>
          <cell r="AF230" t="str">
            <v>23:21,21:9</v>
          </cell>
          <cell r="AG230" t="str">
            <v>21:23,9:21</v>
          </cell>
          <cell r="AH230" t="str">
            <v/>
          </cell>
          <cell r="AI230">
            <v>23</v>
          </cell>
          <cell r="AJ230">
            <v>21</v>
          </cell>
          <cell r="AK230">
            <v>21</v>
          </cell>
          <cell r="AL230">
            <v>9</v>
          </cell>
          <cell r="AM230">
            <v>0</v>
          </cell>
          <cell r="AN230">
            <v>0</v>
          </cell>
        </row>
        <row r="231">
          <cell r="A231" t="str">
            <v/>
          </cell>
          <cell r="B231" t="str">
            <v>Łukasz PIENIĄŻEK (Rzeszów)</v>
          </cell>
          <cell r="H231" t="str">
            <v>P0003</v>
          </cell>
          <cell r="K231" t="str">
            <v>M0012</v>
          </cell>
          <cell r="N231" t="str">
            <v>Jarosław MAZUR (Mielec)</v>
          </cell>
        </row>
        <row r="232">
          <cell r="A232" t="str">
            <v/>
          </cell>
          <cell r="B232" t="str">
            <v/>
          </cell>
          <cell r="H232" t="str">
            <v/>
          </cell>
          <cell r="K232" t="str">
            <v/>
          </cell>
          <cell r="N232" t="str">
            <v/>
          </cell>
        </row>
        <row r="234">
          <cell r="B234" t="str">
            <v>zwycięzca(cy): 23:21,21:9</v>
          </cell>
          <cell r="K234" t="str">
            <v/>
          </cell>
        </row>
        <row r="235">
          <cell r="B235">
            <v>34</v>
          </cell>
          <cell r="C235" t="str">
            <v>dzień turnieju.</v>
          </cell>
          <cell r="I235" t="str">
            <v>Nr meczu</v>
          </cell>
          <cell r="N235" t="str">
            <v>Godz.</v>
          </cell>
          <cell r="R235" t="str">
            <v>S. prow.</v>
          </cell>
          <cell r="AF235" t="str">
            <v>wygrany</v>
          </cell>
          <cell r="AG235" t="str">
            <v>przegrany</v>
          </cell>
        </row>
        <row r="236">
          <cell r="B236" t="str">
            <v>Boisko</v>
          </cell>
          <cell r="C236" t="str">
            <v>Gra</v>
          </cell>
          <cell r="I236">
            <v>34</v>
          </cell>
          <cell r="N236" t="str">
            <v>rozp.</v>
          </cell>
          <cell r="P236" t="str">
            <v>zak.</v>
          </cell>
          <cell r="R236" t="str">
            <v>S. serw.</v>
          </cell>
        </row>
        <row r="237">
          <cell r="A237">
            <v>34</v>
          </cell>
          <cell r="C237" t="str">
            <v>Runners Up</v>
          </cell>
          <cell r="H237">
            <v>12</v>
          </cell>
          <cell r="I237">
            <v>21</v>
          </cell>
          <cell r="J237">
            <v>12</v>
          </cell>
          <cell r="K237">
            <v>21</v>
          </cell>
          <cell r="R237">
            <v>0</v>
          </cell>
          <cell r="S237" t="str">
            <v>godz.11:40</v>
          </cell>
          <cell r="X237">
            <v>34</v>
          </cell>
          <cell r="Y237" t="str">
            <v>Runners Up</v>
          </cell>
          <cell r="Z237" t="str">
            <v>W0010</v>
          </cell>
          <cell r="AA237" t="str">
            <v/>
          </cell>
          <cell r="AB237" t="str">
            <v>K0033</v>
          </cell>
          <cell r="AC237" t="str">
            <v/>
          </cell>
          <cell r="AD237" t="str">
            <v>K0033</v>
          </cell>
          <cell r="AE237" t="str">
            <v/>
          </cell>
          <cell r="AF237" t="str">
            <v>21:12,21:12</v>
          </cell>
          <cell r="AG237" t="str">
            <v>12:21,12:21</v>
          </cell>
          <cell r="AH237" t="str">
            <v/>
          </cell>
          <cell r="AI237">
            <v>12</v>
          </cell>
          <cell r="AJ237">
            <v>21</v>
          </cell>
          <cell r="AK237">
            <v>12</v>
          </cell>
          <cell r="AL237">
            <v>21</v>
          </cell>
          <cell r="AM237">
            <v>0</v>
          </cell>
          <cell r="AN237">
            <v>0</v>
          </cell>
        </row>
        <row r="238">
          <cell r="A238" t="str">
            <v/>
          </cell>
          <cell r="B238" t="str">
            <v>Dariusz WALAS (Rzeszów)</v>
          </cell>
          <cell r="H238" t="str">
            <v>W0010</v>
          </cell>
          <cell r="K238" t="str">
            <v>K0033</v>
          </cell>
          <cell r="N238" t="str">
            <v>Marek KAMIŃSKI (Nowa Dęba)</v>
          </cell>
        </row>
        <row r="239">
          <cell r="A239" t="str">
            <v/>
          </cell>
          <cell r="B239" t="str">
            <v/>
          </cell>
          <cell r="H239" t="str">
            <v/>
          </cell>
          <cell r="K239" t="str">
            <v/>
          </cell>
          <cell r="N239" t="str">
            <v/>
          </cell>
        </row>
        <row r="241">
          <cell r="B241" t="str">
            <v/>
          </cell>
          <cell r="K241" t="str">
            <v>zwycięzca(cy): 21:12,21:12</v>
          </cell>
        </row>
        <row r="242">
          <cell r="B242">
            <v>35</v>
          </cell>
          <cell r="C242" t="str">
            <v>dzień turnieju.</v>
          </cell>
          <cell r="I242" t="str">
            <v>Nr meczu</v>
          </cell>
          <cell r="N242" t="str">
            <v>Godz.</v>
          </cell>
          <cell r="R242" t="str">
            <v>S. prow.</v>
          </cell>
          <cell r="AF242" t="str">
            <v>wygrany</v>
          </cell>
          <cell r="AG242" t="str">
            <v>przegrany</v>
          </cell>
        </row>
        <row r="243">
          <cell r="B243" t="str">
            <v>Boisko</v>
          </cell>
          <cell r="C243" t="str">
            <v>Gra</v>
          </cell>
          <cell r="I243">
            <v>35</v>
          </cell>
          <cell r="N243" t="str">
            <v>rozp.</v>
          </cell>
          <cell r="P243" t="str">
            <v>zak.</v>
          </cell>
          <cell r="R243" t="str">
            <v>S. serw.</v>
          </cell>
        </row>
        <row r="244">
          <cell r="A244">
            <v>35</v>
          </cell>
          <cell r="C244" t="str">
            <v>Runners Up</v>
          </cell>
          <cell r="H244">
            <v>23</v>
          </cell>
          <cell r="I244">
            <v>21</v>
          </cell>
          <cell r="J244">
            <v>17</v>
          </cell>
          <cell r="K244">
            <v>21</v>
          </cell>
          <cell r="L244">
            <v>21</v>
          </cell>
          <cell r="M244">
            <v>9</v>
          </cell>
          <cell r="R244">
            <v>0</v>
          </cell>
          <cell r="S244" t="str">
            <v>godz.11:40</v>
          </cell>
          <cell r="X244">
            <v>35</v>
          </cell>
          <cell r="Y244" t="str">
            <v>Runners Up</v>
          </cell>
          <cell r="Z244" t="str">
            <v>M0012</v>
          </cell>
          <cell r="AA244" t="str">
            <v/>
          </cell>
          <cell r="AB244" t="str">
            <v>W0010</v>
          </cell>
          <cell r="AC244" t="str">
            <v/>
          </cell>
          <cell r="AD244" t="str">
            <v>M0012</v>
          </cell>
          <cell r="AE244" t="str">
            <v/>
          </cell>
          <cell r="AF244" t="str">
            <v>23:21,17:21,21:9</v>
          </cell>
          <cell r="AG244" t="str">
            <v>21:23,21:17,9:21</v>
          </cell>
          <cell r="AH244" t="str">
            <v/>
          </cell>
          <cell r="AI244">
            <v>23</v>
          </cell>
          <cell r="AJ244">
            <v>21</v>
          </cell>
          <cell r="AK244">
            <v>17</v>
          </cell>
          <cell r="AL244">
            <v>21</v>
          </cell>
          <cell r="AM244">
            <v>21</v>
          </cell>
          <cell r="AN244">
            <v>9</v>
          </cell>
        </row>
        <row r="245">
          <cell r="A245" t="str">
            <v/>
          </cell>
          <cell r="B245" t="str">
            <v>Jarosław MAZUR (Mielec)</v>
          </cell>
          <cell r="H245" t="str">
            <v>M0012</v>
          </cell>
          <cell r="K245" t="str">
            <v>W0010</v>
          </cell>
          <cell r="N245" t="str">
            <v>Dariusz WALAS (Rzeszów)</v>
          </cell>
        </row>
        <row r="246">
          <cell r="A246" t="str">
            <v/>
          </cell>
          <cell r="B246" t="str">
            <v/>
          </cell>
          <cell r="H246" t="str">
            <v/>
          </cell>
          <cell r="K246" t="str">
            <v/>
          </cell>
          <cell r="N246" t="str">
            <v/>
          </cell>
        </row>
        <row r="248">
          <cell r="B248" t="str">
            <v>zwycięzca(cy): 23:21,17:21,21:9</v>
          </cell>
          <cell r="K248" t="str">
            <v/>
          </cell>
        </row>
        <row r="249">
          <cell r="B249">
            <v>36</v>
          </cell>
          <cell r="C249" t="str">
            <v>dzień turnieju.</v>
          </cell>
          <cell r="I249" t="str">
            <v>Nr meczu</v>
          </cell>
          <cell r="N249" t="str">
            <v>Godz.</v>
          </cell>
          <cell r="R249" t="str">
            <v>S. prow.</v>
          </cell>
          <cell r="AF249" t="str">
            <v>wygrany</v>
          </cell>
          <cell r="AG249" t="str">
            <v>przegrany</v>
          </cell>
        </row>
        <row r="250">
          <cell r="B250" t="str">
            <v>Boisko</v>
          </cell>
          <cell r="C250" t="str">
            <v>Gra</v>
          </cell>
          <cell r="I250">
            <v>36</v>
          </cell>
          <cell r="N250" t="str">
            <v>rozp.</v>
          </cell>
          <cell r="P250" t="str">
            <v>zak.</v>
          </cell>
          <cell r="R250" t="str">
            <v>S. serw.</v>
          </cell>
        </row>
        <row r="251">
          <cell r="A251">
            <v>36</v>
          </cell>
          <cell r="C251" t="str">
            <v>Runners Up</v>
          </cell>
          <cell r="H251">
            <v>21</v>
          </cell>
          <cell r="I251">
            <v>8</v>
          </cell>
          <cell r="J251">
            <v>21</v>
          </cell>
          <cell r="K251">
            <v>13</v>
          </cell>
          <cell r="R251">
            <v>0</v>
          </cell>
          <cell r="S251" t="str">
            <v>godz.11:40</v>
          </cell>
          <cell r="X251">
            <v>36</v>
          </cell>
          <cell r="Y251" t="str">
            <v>Runners Up</v>
          </cell>
          <cell r="Z251" t="str">
            <v>P0003</v>
          </cell>
          <cell r="AA251" t="str">
            <v/>
          </cell>
          <cell r="AB251" t="str">
            <v>K0033</v>
          </cell>
          <cell r="AC251" t="str">
            <v/>
          </cell>
          <cell r="AD251" t="str">
            <v>P0003</v>
          </cell>
          <cell r="AE251" t="str">
            <v/>
          </cell>
          <cell r="AF251" t="str">
            <v>21:8,21:13</v>
          </cell>
          <cell r="AG251" t="str">
            <v>8:21,13:21</v>
          </cell>
          <cell r="AH251" t="str">
            <v/>
          </cell>
          <cell r="AI251">
            <v>21</v>
          </cell>
          <cell r="AJ251">
            <v>8</v>
          </cell>
          <cell r="AK251">
            <v>21</v>
          </cell>
          <cell r="AL251">
            <v>13</v>
          </cell>
          <cell r="AM251">
            <v>0</v>
          </cell>
          <cell r="AN251">
            <v>0</v>
          </cell>
        </row>
        <row r="252">
          <cell r="A252" t="str">
            <v/>
          </cell>
          <cell r="B252" t="str">
            <v>Łukasz PIENIĄŻEK (Rzeszów)</v>
          </cell>
          <cell r="H252" t="str">
            <v>P0003</v>
          </cell>
          <cell r="K252" t="str">
            <v>K0033</v>
          </cell>
          <cell r="N252" t="str">
            <v>Marek KAMIŃSKI (Nowa Dęba)</v>
          </cell>
        </row>
        <row r="253">
          <cell r="A253" t="str">
            <v/>
          </cell>
          <cell r="B253" t="str">
            <v/>
          </cell>
          <cell r="H253" t="str">
            <v/>
          </cell>
          <cell r="K253" t="str">
            <v/>
          </cell>
          <cell r="N253" t="str">
            <v/>
          </cell>
        </row>
        <row r="255">
          <cell r="B255" t="str">
            <v>zwycięzca(cy): 21:8,21:13</v>
          </cell>
          <cell r="K255" t="str">
            <v/>
          </cell>
        </row>
        <row r="256">
          <cell r="B256">
            <v>37</v>
          </cell>
          <cell r="C256" t="str">
            <v>dzień turnieju.</v>
          </cell>
          <cell r="I256" t="str">
            <v>Nr meczu</v>
          </cell>
          <cell r="N256" t="str">
            <v>Godz.</v>
          </cell>
          <cell r="R256" t="str">
            <v>S. prow.</v>
          </cell>
          <cell r="AF256" t="str">
            <v>wygrany</v>
          </cell>
          <cell r="AG256" t="str">
            <v>przegrany</v>
          </cell>
        </row>
        <row r="257">
          <cell r="B257" t="str">
            <v>Boisko</v>
          </cell>
          <cell r="C257" t="str">
            <v>Gra</v>
          </cell>
          <cell r="I257">
            <v>37</v>
          </cell>
          <cell r="N257" t="str">
            <v>rozp.</v>
          </cell>
          <cell r="P257" t="str">
            <v>zak.</v>
          </cell>
          <cell r="R257" t="str">
            <v>S. serw.</v>
          </cell>
        </row>
        <row r="258">
          <cell r="A258">
            <v>37</v>
          </cell>
          <cell r="C258" t="str">
            <v>Old Boys</v>
          </cell>
          <cell r="H258">
            <v>21</v>
          </cell>
          <cell r="I258">
            <v>8</v>
          </cell>
          <cell r="J258">
            <v>21</v>
          </cell>
          <cell r="K258">
            <v>8</v>
          </cell>
          <cell r="R258">
            <v>0</v>
          </cell>
          <cell r="S258" t="str">
            <v>godz.12:00</v>
          </cell>
          <cell r="X258">
            <v>37</v>
          </cell>
          <cell r="Y258" t="str">
            <v>Old Boys</v>
          </cell>
          <cell r="Z258" t="str">
            <v>M0008</v>
          </cell>
          <cell r="AA258" t="str">
            <v/>
          </cell>
          <cell r="AB258" t="str">
            <v>M0009</v>
          </cell>
          <cell r="AC258" t="str">
            <v/>
          </cell>
          <cell r="AD258" t="str">
            <v>M0008</v>
          </cell>
          <cell r="AE258" t="str">
            <v/>
          </cell>
          <cell r="AF258" t="str">
            <v>21:8,21:8</v>
          </cell>
          <cell r="AG258" t="str">
            <v>8:21,8:21</v>
          </cell>
          <cell r="AH258" t="str">
            <v/>
          </cell>
          <cell r="AI258">
            <v>21</v>
          </cell>
          <cell r="AJ258">
            <v>8</v>
          </cell>
          <cell r="AK258">
            <v>21</v>
          </cell>
          <cell r="AL258">
            <v>8</v>
          </cell>
          <cell r="AM258">
            <v>0</v>
          </cell>
          <cell r="AN258">
            <v>0</v>
          </cell>
        </row>
        <row r="259">
          <cell r="A259" t="str">
            <v/>
          </cell>
          <cell r="B259" t="str">
            <v>Tadeusz MICHALIK (Tarnów)</v>
          </cell>
          <cell r="H259" t="str">
            <v>M0008</v>
          </cell>
          <cell r="K259" t="str">
            <v>M0009</v>
          </cell>
          <cell r="N259" t="str">
            <v>Robert MIKA (Gorlice)</v>
          </cell>
        </row>
        <row r="260">
          <cell r="A260" t="str">
            <v/>
          </cell>
          <cell r="B260" t="str">
            <v/>
          </cell>
          <cell r="H260" t="str">
            <v/>
          </cell>
          <cell r="K260" t="str">
            <v/>
          </cell>
          <cell r="N260" t="str">
            <v/>
          </cell>
        </row>
        <row r="262">
          <cell r="B262" t="str">
            <v>zwycięzca(cy): 21:8,21:8</v>
          </cell>
          <cell r="K262" t="str">
            <v/>
          </cell>
        </row>
        <row r="263">
          <cell r="B263">
            <v>38</v>
          </cell>
          <cell r="C263" t="str">
            <v>dzień turnieju.</v>
          </cell>
          <cell r="I263" t="str">
            <v>Nr meczu</v>
          </cell>
          <cell r="N263" t="str">
            <v>Godz.</v>
          </cell>
          <cell r="R263" t="str">
            <v>S. prow.</v>
          </cell>
          <cell r="AF263" t="str">
            <v>wygrany</v>
          </cell>
          <cell r="AG263" t="str">
            <v>przegrany</v>
          </cell>
        </row>
        <row r="264">
          <cell r="B264" t="str">
            <v>Boisko</v>
          </cell>
          <cell r="C264" t="str">
            <v>Gra</v>
          </cell>
          <cell r="I264">
            <v>38</v>
          </cell>
          <cell r="N264" t="str">
            <v>rozp.</v>
          </cell>
          <cell r="P264" t="str">
            <v>zak.</v>
          </cell>
          <cell r="R264" t="str">
            <v>S. serw.</v>
          </cell>
        </row>
        <row r="265">
          <cell r="A265">
            <v>38</v>
          </cell>
          <cell r="C265" t="str">
            <v>Old Boys</v>
          </cell>
          <cell r="H265">
            <v>21</v>
          </cell>
          <cell r="I265">
            <v>13</v>
          </cell>
          <cell r="J265">
            <v>21</v>
          </cell>
          <cell r="K265">
            <v>17</v>
          </cell>
          <cell r="R265">
            <v>0</v>
          </cell>
          <cell r="S265" t="str">
            <v>godz.12:00</v>
          </cell>
          <cell r="X265">
            <v>38</v>
          </cell>
          <cell r="Y265" t="str">
            <v>Old Boys</v>
          </cell>
          <cell r="Z265" t="str">
            <v>K0003</v>
          </cell>
          <cell r="AA265" t="str">
            <v/>
          </cell>
          <cell r="AB265" t="str">
            <v>K0007</v>
          </cell>
          <cell r="AC265" t="str">
            <v/>
          </cell>
          <cell r="AD265" t="str">
            <v>K0003</v>
          </cell>
          <cell r="AE265" t="str">
            <v/>
          </cell>
          <cell r="AF265" t="str">
            <v>21:13,21:17</v>
          </cell>
          <cell r="AG265" t="str">
            <v>13:21,17:21</v>
          </cell>
          <cell r="AH265" t="str">
            <v/>
          </cell>
          <cell r="AI265">
            <v>21</v>
          </cell>
          <cell r="AJ265">
            <v>13</v>
          </cell>
          <cell r="AK265">
            <v>21</v>
          </cell>
          <cell r="AL265">
            <v>17</v>
          </cell>
          <cell r="AM265">
            <v>0</v>
          </cell>
          <cell r="AN265">
            <v>0</v>
          </cell>
        </row>
        <row r="266">
          <cell r="A266" t="str">
            <v/>
          </cell>
          <cell r="B266" t="str">
            <v>Robert KARNASIEWICZ (Mielec)</v>
          </cell>
          <cell r="H266" t="str">
            <v>K0003</v>
          </cell>
          <cell r="K266" t="str">
            <v>K0007</v>
          </cell>
          <cell r="N266" t="str">
            <v>Jerzy KNOT (Gorlice)</v>
          </cell>
        </row>
        <row r="267">
          <cell r="A267" t="str">
            <v/>
          </cell>
          <cell r="B267" t="str">
            <v/>
          </cell>
          <cell r="H267" t="str">
            <v/>
          </cell>
          <cell r="K267" t="str">
            <v/>
          </cell>
          <cell r="N267" t="str">
            <v/>
          </cell>
        </row>
        <row r="269">
          <cell r="B269" t="str">
            <v>zwycięzca(cy): 21:13,21:17</v>
          </cell>
          <cell r="K269" t="str">
            <v/>
          </cell>
        </row>
        <row r="270">
          <cell r="B270">
            <v>39</v>
          </cell>
          <cell r="C270" t="str">
            <v>dzień turnieju.</v>
          </cell>
          <cell r="I270" t="str">
            <v>Nr meczu</v>
          </cell>
          <cell r="N270" t="str">
            <v>Godz.</v>
          </cell>
          <cell r="R270" t="str">
            <v>S. prow.</v>
          </cell>
          <cell r="AF270" t="str">
            <v>wygrany</v>
          </cell>
          <cell r="AG270" t="str">
            <v>przegrany</v>
          </cell>
        </row>
        <row r="271">
          <cell r="B271" t="str">
            <v>Boisko</v>
          </cell>
          <cell r="C271" t="str">
            <v>Gra</v>
          </cell>
          <cell r="I271">
            <v>39</v>
          </cell>
          <cell r="N271" t="str">
            <v>rozp.</v>
          </cell>
          <cell r="P271" t="str">
            <v>zak.</v>
          </cell>
          <cell r="R271" t="str">
            <v>S. serw.</v>
          </cell>
        </row>
        <row r="272">
          <cell r="A272">
            <v>39</v>
          </cell>
          <cell r="C272" t="str">
            <v>Old Boys</v>
          </cell>
          <cell r="H272">
            <v>21</v>
          </cell>
          <cell r="I272">
            <v>14</v>
          </cell>
          <cell r="J272">
            <v>21</v>
          </cell>
          <cell r="K272">
            <v>17</v>
          </cell>
          <cell r="R272">
            <v>0</v>
          </cell>
          <cell r="S272" t="str">
            <v>godz.12:00</v>
          </cell>
          <cell r="X272">
            <v>39</v>
          </cell>
          <cell r="Y272" t="str">
            <v>Old Boys</v>
          </cell>
          <cell r="Z272" t="str">
            <v>B0009</v>
          </cell>
          <cell r="AA272" t="str">
            <v/>
          </cell>
          <cell r="AB272" t="str">
            <v>K0003</v>
          </cell>
          <cell r="AC272" t="str">
            <v/>
          </cell>
          <cell r="AD272" t="str">
            <v>B0009</v>
          </cell>
          <cell r="AE272" t="str">
            <v/>
          </cell>
          <cell r="AF272" t="str">
            <v>21:14,21:17</v>
          </cell>
          <cell r="AG272" t="str">
            <v>14:21,17:21</v>
          </cell>
          <cell r="AH272" t="str">
            <v/>
          </cell>
          <cell r="AI272">
            <v>21</v>
          </cell>
          <cell r="AJ272">
            <v>14</v>
          </cell>
          <cell r="AK272">
            <v>21</v>
          </cell>
          <cell r="AL272">
            <v>17</v>
          </cell>
          <cell r="AM272">
            <v>0</v>
          </cell>
          <cell r="AN272">
            <v>0</v>
          </cell>
        </row>
        <row r="273">
          <cell r="A273" t="str">
            <v/>
          </cell>
          <cell r="B273" t="str">
            <v>Adam BUNIO (Nowa Dęba)</v>
          </cell>
          <cell r="H273" t="str">
            <v>B0009</v>
          </cell>
          <cell r="K273" t="str">
            <v>K0003</v>
          </cell>
          <cell r="N273" t="str">
            <v>Robert KARNASIEWICZ (Mielec)</v>
          </cell>
        </row>
        <row r="274">
          <cell r="A274" t="str">
            <v/>
          </cell>
          <cell r="B274" t="str">
            <v/>
          </cell>
          <cell r="H274" t="str">
            <v/>
          </cell>
          <cell r="K274" t="str">
            <v/>
          </cell>
          <cell r="N274" t="str">
            <v/>
          </cell>
        </row>
        <row r="276">
          <cell r="B276" t="str">
            <v>zwycięzca(cy): 21:14,21:17</v>
          </cell>
          <cell r="K276" t="str">
            <v/>
          </cell>
        </row>
        <row r="277">
          <cell r="B277">
            <v>40</v>
          </cell>
          <cell r="C277" t="str">
            <v>dzień turnieju.</v>
          </cell>
          <cell r="I277" t="str">
            <v>Nr meczu</v>
          </cell>
          <cell r="N277" t="str">
            <v>Godz.</v>
          </cell>
          <cell r="R277" t="str">
            <v>S. prow.</v>
          </cell>
          <cell r="AF277" t="str">
            <v>wygrany</v>
          </cell>
          <cell r="AG277" t="str">
            <v>przegrany</v>
          </cell>
        </row>
        <row r="278">
          <cell r="B278" t="str">
            <v>Boisko</v>
          </cell>
          <cell r="C278" t="str">
            <v>Gra</v>
          </cell>
          <cell r="I278">
            <v>40</v>
          </cell>
          <cell r="N278" t="str">
            <v>rozp.</v>
          </cell>
          <cell r="P278" t="str">
            <v>zak.</v>
          </cell>
          <cell r="R278" t="str">
            <v>S. serw.</v>
          </cell>
        </row>
        <row r="279">
          <cell r="A279">
            <v>40</v>
          </cell>
          <cell r="C279" t="str">
            <v>Old Boys</v>
          </cell>
          <cell r="H279">
            <v>21</v>
          </cell>
          <cell r="I279">
            <v>17</v>
          </cell>
          <cell r="J279">
            <v>21</v>
          </cell>
          <cell r="K279">
            <v>11</v>
          </cell>
          <cell r="R279">
            <v>0</v>
          </cell>
          <cell r="S279" t="str">
            <v>godz.12:00</v>
          </cell>
          <cell r="X279">
            <v>40</v>
          </cell>
          <cell r="Y279" t="str">
            <v>Old Boys</v>
          </cell>
          <cell r="Z279" t="str">
            <v>K0007</v>
          </cell>
          <cell r="AA279" t="str">
            <v/>
          </cell>
          <cell r="AB279" t="str">
            <v>M0009</v>
          </cell>
          <cell r="AC279" t="str">
            <v/>
          </cell>
          <cell r="AD279" t="str">
            <v>K0007</v>
          </cell>
          <cell r="AE279" t="str">
            <v/>
          </cell>
          <cell r="AF279" t="str">
            <v>21:17,21:11</v>
          </cell>
          <cell r="AG279" t="str">
            <v>17:21,11:21</v>
          </cell>
          <cell r="AH279" t="str">
            <v/>
          </cell>
          <cell r="AI279">
            <v>21</v>
          </cell>
          <cell r="AJ279">
            <v>17</v>
          </cell>
          <cell r="AK279">
            <v>21</v>
          </cell>
          <cell r="AL279">
            <v>11</v>
          </cell>
          <cell r="AM279">
            <v>0</v>
          </cell>
          <cell r="AN279">
            <v>0</v>
          </cell>
        </row>
        <row r="280">
          <cell r="A280" t="str">
            <v/>
          </cell>
          <cell r="B280" t="str">
            <v>Jerzy KNOT (Gorlice)</v>
          </cell>
          <cell r="H280" t="str">
            <v>K0007</v>
          </cell>
          <cell r="K280" t="str">
            <v>M0009</v>
          </cell>
          <cell r="N280" t="str">
            <v>Robert MIKA (Gorlice)</v>
          </cell>
        </row>
        <row r="281">
          <cell r="A281" t="str">
            <v/>
          </cell>
          <cell r="B281" t="str">
            <v/>
          </cell>
          <cell r="H281" t="str">
            <v/>
          </cell>
          <cell r="K281" t="str">
            <v/>
          </cell>
          <cell r="N281" t="str">
            <v/>
          </cell>
        </row>
        <row r="283">
          <cell r="B283" t="str">
            <v>zwycięzca(cy): 21:17,21:11</v>
          </cell>
          <cell r="K283" t="str">
            <v/>
          </cell>
        </row>
        <row r="284">
          <cell r="B284">
            <v>41</v>
          </cell>
          <cell r="C284" t="str">
            <v>dzień turnieju.</v>
          </cell>
          <cell r="I284" t="str">
            <v>Nr meczu</v>
          </cell>
          <cell r="N284" t="str">
            <v>Godz.</v>
          </cell>
          <cell r="R284" t="str">
            <v>S. prow.</v>
          </cell>
          <cell r="AF284" t="str">
            <v>wygrany</v>
          </cell>
          <cell r="AG284" t="str">
            <v>przegrany</v>
          </cell>
        </row>
        <row r="285">
          <cell r="B285" t="str">
            <v>Boisko</v>
          </cell>
          <cell r="C285" t="str">
            <v>Gra</v>
          </cell>
          <cell r="I285">
            <v>41</v>
          </cell>
          <cell r="N285" t="str">
            <v>rozp.</v>
          </cell>
          <cell r="P285" t="str">
            <v>zak.</v>
          </cell>
          <cell r="R285" t="str">
            <v>S. serw.</v>
          </cell>
        </row>
        <row r="286">
          <cell r="A286">
            <v>41</v>
          </cell>
          <cell r="C286" t="str">
            <v>Old Boys</v>
          </cell>
          <cell r="H286">
            <v>18</v>
          </cell>
          <cell r="I286">
            <v>21</v>
          </cell>
          <cell r="J286">
            <v>21</v>
          </cell>
          <cell r="K286">
            <v>16</v>
          </cell>
          <cell r="L286">
            <v>22</v>
          </cell>
          <cell r="M286">
            <v>24</v>
          </cell>
          <cell r="R286">
            <v>0</v>
          </cell>
          <cell r="S286" t="str">
            <v>godz.12:20</v>
          </cell>
          <cell r="X286">
            <v>41</v>
          </cell>
          <cell r="Y286" t="str">
            <v>Old Boys</v>
          </cell>
          <cell r="Z286" t="str">
            <v>K0007</v>
          </cell>
          <cell r="AA286" t="str">
            <v/>
          </cell>
          <cell r="AB286" t="str">
            <v>M0008</v>
          </cell>
          <cell r="AC286" t="str">
            <v/>
          </cell>
          <cell r="AD286" t="str">
            <v>M0008</v>
          </cell>
          <cell r="AE286" t="str">
            <v/>
          </cell>
          <cell r="AF286" t="str">
            <v>21:18,16:21,24:22</v>
          </cell>
          <cell r="AG286" t="str">
            <v>18:21,21:16,22:24</v>
          </cell>
          <cell r="AH286" t="str">
            <v/>
          </cell>
          <cell r="AI286">
            <v>18</v>
          </cell>
          <cell r="AJ286">
            <v>21</v>
          </cell>
          <cell r="AK286">
            <v>21</v>
          </cell>
          <cell r="AL286">
            <v>16</v>
          </cell>
          <cell r="AM286">
            <v>22</v>
          </cell>
          <cell r="AN286">
            <v>24</v>
          </cell>
        </row>
        <row r="287">
          <cell r="A287" t="str">
            <v/>
          </cell>
          <cell r="B287" t="str">
            <v>Jerzy KNOT (Gorlice)</v>
          </cell>
          <cell r="H287" t="str">
            <v>K0007</v>
          </cell>
          <cell r="K287" t="str">
            <v>M0008</v>
          </cell>
          <cell r="N287" t="str">
            <v>Tadeusz MICHALIK (Tarnów)</v>
          </cell>
        </row>
        <row r="288">
          <cell r="A288" t="str">
            <v/>
          </cell>
          <cell r="B288" t="str">
            <v/>
          </cell>
          <cell r="H288" t="str">
            <v/>
          </cell>
          <cell r="K288" t="str">
            <v/>
          </cell>
          <cell r="N288" t="str">
            <v/>
          </cell>
        </row>
        <row r="290">
          <cell r="B290" t="str">
            <v/>
          </cell>
          <cell r="K290" t="str">
            <v>zwycięzca(cy): 21:18,16:21,24:22</v>
          </cell>
        </row>
        <row r="291">
          <cell r="B291">
            <v>42</v>
          </cell>
          <cell r="C291" t="str">
            <v>dzień turnieju.</v>
          </cell>
          <cell r="I291" t="str">
            <v>Nr meczu</v>
          </cell>
          <cell r="N291" t="str">
            <v>Godz.</v>
          </cell>
          <cell r="R291" t="str">
            <v>S. prow.</v>
          </cell>
          <cell r="AF291" t="str">
            <v>wygrany</v>
          </cell>
          <cell r="AG291" t="str">
            <v>przegrany</v>
          </cell>
        </row>
        <row r="292">
          <cell r="B292" t="str">
            <v>Boisko</v>
          </cell>
          <cell r="C292" t="str">
            <v>Gra</v>
          </cell>
          <cell r="I292">
            <v>42</v>
          </cell>
          <cell r="N292" t="str">
            <v>rozp.</v>
          </cell>
          <cell r="P292" t="str">
            <v>zak.</v>
          </cell>
          <cell r="R292" t="str">
            <v>S. serw.</v>
          </cell>
        </row>
        <row r="293">
          <cell r="A293">
            <v>42</v>
          </cell>
          <cell r="C293" t="str">
            <v>Old Boys</v>
          </cell>
          <cell r="H293">
            <v>3</v>
          </cell>
          <cell r="I293">
            <v>21</v>
          </cell>
          <cell r="J293">
            <v>7</v>
          </cell>
          <cell r="K293">
            <v>21</v>
          </cell>
          <cell r="R293">
            <v>0</v>
          </cell>
          <cell r="S293" t="str">
            <v>godz.12:20</v>
          </cell>
          <cell r="X293">
            <v>42</v>
          </cell>
          <cell r="Y293" t="str">
            <v>Old Boys</v>
          </cell>
          <cell r="Z293" t="str">
            <v>M0009</v>
          </cell>
          <cell r="AA293" t="str">
            <v/>
          </cell>
          <cell r="AB293" t="str">
            <v>B0009</v>
          </cell>
          <cell r="AC293" t="str">
            <v/>
          </cell>
          <cell r="AD293" t="str">
            <v>B0009</v>
          </cell>
          <cell r="AE293" t="str">
            <v/>
          </cell>
          <cell r="AF293" t="str">
            <v>21:3,21:7</v>
          </cell>
          <cell r="AG293" t="str">
            <v>3:21,7:21</v>
          </cell>
          <cell r="AH293" t="str">
            <v/>
          </cell>
          <cell r="AI293">
            <v>3</v>
          </cell>
          <cell r="AJ293">
            <v>21</v>
          </cell>
          <cell r="AK293">
            <v>7</v>
          </cell>
          <cell r="AL293">
            <v>21</v>
          </cell>
          <cell r="AM293">
            <v>0</v>
          </cell>
          <cell r="AN293">
            <v>0</v>
          </cell>
        </row>
        <row r="294">
          <cell r="A294" t="str">
            <v/>
          </cell>
          <cell r="B294" t="str">
            <v>Robert MIKA (Gorlice)</v>
          </cell>
          <cell r="H294" t="str">
            <v>M0009</v>
          </cell>
          <cell r="K294" t="str">
            <v>B0009</v>
          </cell>
          <cell r="N294" t="str">
            <v>Adam BUNIO (Nowa Dęba)</v>
          </cell>
        </row>
        <row r="295">
          <cell r="A295" t="str">
            <v/>
          </cell>
          <cell r="B295" t="str">
            <v/>
          </cell>
          <cell r="H295" t="str">
            <v/>
          </cell>
          <cell r="K295" t="str">
            <v/>
          </cell>
          <cell r="N295" t="str">
            <v/>
          </cell>
        </row>
        <row r="297">
          <cell r="B297" t="str">
            <v/>
          </cell>
          <cell r="K297" t="str">
            <v>zwycięzca(cy): 21:3,21:7</v>
          </cell>
        </row>
        <row r="298">
          <cell r="B298">
            <v>43</v>
          </cell>
          <cell r="C298" t="str">
            <v>dzień turnieju.</v>
          </cell>
          <cell r="I298" t="str">
            <v>Nr meczu</v>
          </cell>
          <cell r="N298" t="str">
            <v>Godz.</v>
          </cell>
          <cell r="R298" t="str">
            <v>S. prow.</v>
          </cell>
          <cell r="AF298" t="str">
            <v>wygrany</v>
          </cell>
          <cell r="AG298" t="str">
            <v>przegrany</v>
          </cell>
        </row>
        <row r="299">
          <cell r="B299" t="str">
            <v>Boisko</v>
          </cell>
          <cell r="C299" t="str">
            <v>Gra</v>
          </cell>
          <cell r="I299">
            <v>43</v>
          </cell>
          <cell r="N299" t="str">
            <v>rozp.</v>
          </cell>
          <cell r="P299" t="str">
            <v>zak.</v>
          </cell>
          <cell r="R299" t="str">
            <v>S. serw.</v>
          </cell>
        </row>
        <row r="300">
          <cell r="A300">
            <v>43</v>
          </cell>
          <cell r="C300" t="str">
            <v>Old Boys</v>
          </cell>
          <cell r="H300">
            <v>7</v>
          </cell>
          <cell r="I300">
            <v>21</v>
          </cell>
          <cell r="J300">
            <v>9</v>
          </cell>
          <cell r="K300">
            <v>21</v>
          </cell>
          <cell r="R300">
            <v>0</v>
          </cell>
          <cell r="S300" t="str">
            <v>godz.12:20</v>
          </cell>
          <cell r="X300">
            <v>43</v>
          </cell>
          <cell r="Y300" t="str">
            <v>Old Boys</v>
          </cell>
          <cell r="Z300" t="str">
            <v>K0007</v>
          </cell>
          <cell r="AA300" t="str">
            <v/>
          </cell>
          <cell r="AB300" t="str">
            <v>B0009</v>
          </cell>
          <cell r="AC300" t="str">
            <v/>
          </cell>
          <cell r="AD300" t="str">
            <v>B0009</v>
          </cell>
          <cell r="AE300" t="str">
            <v/>
          </cell>
          <cell r="AF300" t="str">
            <v>21:7,21:9</v>
          </cell>
          <cell r="AG300" t="str">
            <v>7:21,9:21</v>
          </cell>
          <cell r="AH300" t="str">
            <v/>
          </cell>
          <cell r="AI300">
            <v>7</v>
          </cell>
          <cell r="AJ300">
            <v>21</v>
          </cell>
          <cell r="AK300">
            <v>9</v>
          </cell>
          <cell r="AL300">
            <v>21</v>
          </cell>
          <cell r="AM300">
            <v>0</v>
          </cell>
          <cell r="AN300">
            <v>0</v>
          </cell>
        </row>
        <row r="301">
          <cell r="A301" t="str">
            <v/>
          </cell>
          <cell r="B301" t="str">
            <v>Jerzy KNOT (Gorlice)</v>
          </cell>
          <cell r="H301" t="str">
            <v>K0007</v>
          </cell>
          <cell r="K301" t="str">
            <v>B0009</v>
          </cell>
          <cell r="N301" t="str">
            <v>Adam BUNIO (Nowa Dęba)</v>
          </cell>
        </row>
        <row r="302">
          <cell r="A302" t="str">
            <v/>
          </cell>
          <cell r="B302" t="str">
            <v/>
          </cell>
          <cell r="H302" t="str">
            <v/>
          </cell>
          <cell r="K302" t="str">
            <v/>
          </cell>
          <cell r="N302" t="str">
            <v/>
          </cell>
        </row>
        <row r="304">
          <cell r="B304" t="str">
            <v/>
          </cell>
          <cell r="K304" t="str">
            <v>zwycięzca(cy): 21:7,21:9</v>
          </cell>
        </row>
        <row r="305">
          <cell r="B305">
            <v>44</v>
          </cell>
          <cell r="C305" t="str">
            <v>dzień turnieju.</v>
          </cell>
          <cell r="I305" t="str">
            <v>Nr meczu</v>
          </cell>
          <cell r="N305" t="str">
            <v>Godz.</v>
          </cell>
          <cell r="R305" t="str">
            <v>S. prow.</v>
          </cell>
          <cell r="AF305" t="str">
            <v>wygrany</v>
          </cell>
          <cell r="AG305" t="str">
            <v>przegrany</v>
          </cell>
        </row>
        <row r="306">
          <cell r="B306" t="str">
            <v>Boisko</v>
          </cell>
          <cell r="C306" t="str">
            <v>Gra</v>
          </cell>
          <cell r="I306">
            <v>44</v>
          </cell>
          <cell r="N306" t="str">
            <v>rozp.</v>
          </cell>
          <cell r="P306" t="str">
            <v>zak.</v>
          </cell>
          <cell r="R306" t="str">
            <v>S. serw.</v>
          </cell>
        </row>
        <row r="307">
          <cell r="A307">
            <v>44</v>
          </cell>
          <cell r="C307" t="str">
            <v>Old Boys</v>
          </cell>
          <cell r="H307">
            <v>12</v>
          </cell>
          <cell r="I307">
            <v>21</v>
          </cell>
          <cell r="J307">
            <v>13</v>
          </cell>
          <cell r="K307">
            <v>21</v>
          </cell>
          <cell r="R307">
            <v>0</v>
          </cell>
          <cell r="S307" t="str">
            <v>godz.12:20</v>
          </cell>
          <cell r="X307">
            <v>44</v>
          </cell>
          <cell r="Y307" t="str">
            <v>Old Boys</v>
          </cell>
          <cell r="Z307" t="str">
            <v>M0008</v>
          </cell>
          <cell r="AA307" t="str">
            <v/>
          </cell>
          <cell r="AB307" t="str">
            <v>K0003</v>
          </cell>
          <cell r="AC307" t="str">
            <v/>
          </cell>
          <cell r="AD307" t="str">
            <v>K0003</v>
          </cell>
          <cell r="AE307" t="str">
            <v/>
          </cell>
          <cell r="AF307" t="str">
            <v>21:12,21:13</v>
          </cell>
          <cell r="AG307" t="str">
            <v>12:21,13:21</v>
          </cell>
          <cell r="AH307" t="str">
            <v/>
          </cell>
          <cell r="AI307">
            <v>12</v>
          </cell>
          <cell r="AJ307">
            <v>21</v>
          </cell>
          <cell r="AK307">
            <v>13</v>
          </cell>
          <cell r="AL307">
            <v>21</v>
          </cell>
          <cell r="AM307">
            <v>0</v>
          </cell>
          <cell r="AN307">
            <v>0</v>
          </cell>
        </row>
        <row r="308">
          <cell r="A308" t="str">
            <v/>
          </cell>
          <cell r="B308" t="str">
            <v>Tadeusz MICHALIK (Tarnów)</v>
          </cell>
          <cell r="H308" t="str">
            <v>M0008</v>
          </cell>
          <cell r="K308" t="str">
            <v>K0003</v>
          </cell>
          <cell r="N308" t="str">
            <v>Robert KARNASIEWICZ (Mielec)</v>
          </cell>
        </row>
        <row r="309">
          <cell r="A309" t="str">
            <v/>
          </cell>
          <cell r="B309" t="str">
            <v/>
          </cell>
          <cell r="H309" t="str">
            <v/>
          </cell>
          <cell r="K309" t="str">
            <v/>
          </cell>
          <cell r="N309" t="str">
            <v/>
          </cell>
        </row>
        <row r="311">
          <cell r="B311" t="str">
            <v/>
          </cell>
          <cell r="K311" t="str">
            <v>zwycięzca(cy): 21:12,21:13</v>
          </cell>
        </row>
        <row r="312">
          <cell r="B312">
            <v>45</v>
          </cell>
          <cell r="C312" t="str">
            <v>dzień turnieju.</v>
          </cell>
          <cell r="I312" t="str">
            <v>Nr meczu</v>
          </cell>
          <cell r="N312" t="str">
            <v>Godz.</v>
          </cell>
          <cell r="R312" t="str">
            <v>S. prow.</v>
          </cell>
          <cell r="AF312" t="str">
            <v>wygrany</v>
          </cell>
          <cell r="AG312" t="str">
            <v>przegrany</v>
          </cell>
        </row>
        <row r="313">
          <cell r="B313" t="str">
            <v>Boisko</v>
          </cell>
          <cell r="C313" t="str">
            <v>Gra</v>
          </cell>
          <cell r="I313">
            <v>45</v>
          </cell>
          <cell r="N313" t="str">
            <v>rozp.</v>
          </cell>
          <cell r="P313" t="str">
            <v>zak.</v>
          </cell>
          <cell r="R313" t="str">
            <v>S. serw.</v>
          </cell>
        </row>
        <row r="314">
          <cell r="A314">
            <v>45</v>
          </cell>
          <cell r="C314" t="str">
            <v>Old Boys</v>
          </cell>
          <cell r="H314">
            <v>18</v>
          </cell>
          <cell r="I314">
            <v>21</v>
          </cell>
          <cell r="J314">
            <v>10</v>
          </cell>
          <cell r="K314">
            <v>21</v>
          </cell>
          <cell r="R314">
            <v>0</v>
          </cell>
          <cell r="S314" t="str">
            <v>godz.12:40</v>
          </cell>
          <cell r="X314">
            <v>45</v>
          </cell>
          <cell r="Y314" t="str">
            <v>Old Boys</v>
          </cell>
          <cell r="Z314" t="str">
            <v>M0009</v>
          </cell>
          <cell r="AA314" t="str">
            <v/>
          </cell>
          <cell r="AB314" t="str">
            <v>K0003</v>
          </cell>
          <cell r="AC314" t="str">
            <v/>
          </cell>
          <cell r="AD314" t="str">
            <v>K0003</v>
          </cell>
          <cell r="AE314" t="str">
            <v/>
          </cell>
          <cell r="AF314" t="str">
            <v>21:18,21:10</v>
          </cell>
          <cell r="AG314" t="str">
            <v>18:21,10:21</v>
          </cell>
          <cell r="AH314" t="str">
            <v/>
          </cell>
          <cell r="AI314">
            <v>18</v>
          </cell>
          <cell r="AJ314">
            <v>21</v>
          </cell>
          <cell r="AK314">
            <v>10</v>
          </cell>
          <cell r="AL314">
            <v>21</v>
          </cell>
          <cell r="AM314">
            <v>0</v>
          </cell>
          <cell r="AN314">
            <v>0</v>
          </cell>
        </row>
        <row r="315">
          <cell r="A315" t="str">
            <v/>
          </cell>
          <cell r="B315" t="str">
            <v>Robert MIKA (Gorlice)</v>
          </cell>
          <cell r="H315" t="str">
            <v>M0009</v>
          </cell>
          <cell r="K315" t="str">
            <v>K0003</v>
          </cell>
          <cell r="N315" t="str">
            <v>Robert KARNASIEWICZ (Mielec)</v>
          </cell>
        </row>
        <row r="316">
          <cell r="A316" t="str">
            <v/>
          </cell>
          <cell r="B316" t="str">
            <v/>
          </cell>
          <cell r="H316" t="str">
            <v/>
          </cell>
          <cell r="K316" t="str">
            <v/>
          </cell>
          <cell r="N316" t="str">
            <v/>
          </cell>
        </row>
        <row r="318">
          <cell r="B318" t="str">
            <v/>
          </cell>
          <cell r="K318" t="str">
            <v>zwycięzca(cy): 21:18,21:10</v>
          </cell>
        </row>
        <row r="319">
          <cell r="B319">
            <v>46</v>
          </cell>
          <cell r="C319" t="str">
            <v>dzień turnieju.</v>
          </cell>
          <cell r="I319" t="str">
            <v>Nr meczu</v>
          </cell>
          <cell r="N319" t="str">
            <v>Godz.</v>
          </cell>
          <cell r="R319" t="str">
            <v>S. prow.</v>
          </cell>
          <cell r="AF319" t="str">
            <v>wygrany</v>
          </cell>
          <cell r="AG319" t="str">
            <v>przegrany</v>
          </cell>
        </row>
        <row r="320">
          <cell r="B320" t="str">
            <v>Boisko</v>
          </cell>
          <cell r="C320" t="str">
            <v>Gra</v>
          </cell>
          <cell r="I320">
            <v>46</v>
          </cell>
          <cell r="N320" t="str">
            <v>rozp.</v>
          </cell>
          <cell r="P320" t="str">
            <v>zak.</v>
          </cell>
          <cell r="R320" t="str">
            <v>S. serw.</v>
          </cell>
        </row>
        <row r="321">
          <cell r="A321">
            <v>46</v>
          </cell>
          <cell r="C321" t="str">
            <v>Old Boys</v>
          </cell>
          <cell r="H321">
            <v>21</v>
          </cell>
          <cell r="I321">
            <v>6</v>
          </cell>
          <cell r="J321">
            <v>21</v>
          </cell>
          <cell r="K321">
            <v>13</v>
          </cell>
          <cell r="R321">
            <v>0</v>
          </cell>
          <cell r="S321" t="str">
            <v>godz.12:40</v>
          </cell>
          <cell r="X321">
            <v>46</v>
          </cell>
          <cell r="Y321" t="str">
            <v>Old Boys</v>
          </cell>
          <cell r="Z321" t="str">
            <v>B0009</v>
          </cell>
          <cell r="AA321" t="str">
            <v/>
          </cell>
          <cell r="AB321" t="str">
            <v>M0008</v>
          </cell>
          <cell r="AC321" t="str">
            <v/>
          </cell>
          <cell r="AD321" t="str">
            <v>B0009</v>
          </cell>
          <cell r="AE321" t="str">
            <v/>
          </cell>
          <cell r="AF321" t="str">
            <v>21:6,21:13</v>
          </cell>
          <cell r="AG321" t="str">
            <v>6:21,13:21</v>
          </cell>
          <cell r="AH321" t="str">
            <v/>
          </cell>
          <cell r="AI321">
            <v>21</v>
          </cell>
          <cell r="AJ321">
            <v>6</v>
          </cell>
          <cell r="AK321">
            <v>21</v>
          </cell>
          <cell r="AL321">
            <v>13</v>
          </cell>
          <cell r="AM321">
            <v>0</v>
          </cell>
          <cell r="AN321">
            <v>0</v>
          </cell>
        </row>
        <row r="322">
          <cell r="A322" t="str">
            <v/>
          </cell>
          <cell r="B322" t="str">
            <v>Adam BUNIO (Nowa Dęba)</v>
          </cell>
          <cell r="H322" t="str">
            <v>B0009</v>
          </cell>
          <cell r="K322" t="str">
            <v>M0008</v>
          </cell>
          <cell r="N322" t="str">
            <v>Tadeusz MICHALIK (Tarnów)</v>
          </cell>
        </row>
        <row r="323">
          <cell r="A323" t="str">
            <v/>
          </cell>
          <cell r="B323" t="str">
            <v/>
          </cell>
          <cell r="H323" t="str">
            <v/>
          </cell>
          <cell r="K323" t="str">
            <v/>
          </cell>
          <cell r="N323" t="str">
            <v/>
          </cell>
        </row>
        <row r="325">
          <cell r="B325" t="str">
            <v>zwycięzca(cy): 21:6,21:13</v>
          </cell>
          <cell r="K325" t="str">
            <v/>
          </cell>
        </row>
        <row r="326">
          <cell r="B326">
            <v>47</v>
          </cell>
          <cell r="C326" t="str">
            <v>dzień turnieju.</v>
          </cell>
          <cell r="I326" t="str">
            <v>Nr meczu</v>
          </cell>
          <cell r="N326" t="str">
            <v>Godz.</v>
          </cell>
          <cell r="R326" t="str">
            <v>S. prow.</v>
          </cell>
          <cell r="AF326" t="str">
            <v>wygrany</v>
          </cell>
          <cell r="AG326" t="str">
            <v>przegrany</v>
          </cell>
        </row>
        <row r="327">
          <cell r="B327" t="str">
            <v>Boisko</v>
          </cell>
          <cell r="C327" t="str">
            <v>Gra</v>
          </cell>
          <cell r="I327">
            <v>47</v>
          </cell>
          <cell r="N327" t="str">
            <v>rozp.</v>
          </cell>
          <cell r="P327" t="str">
            <v>zak.</v>
          </cell>
          <cell r="R327" t="str">
            <v>S. serw.</v>
          </cell>
        </row>
        <row r="328">
          <cell r="A328">
            <v>47</v>
          </cell>
          <cell r="C328" t="str">
            <v>Open</v>
          </cell>
          <cell r="H328">
            <v>21</v>
          </cell>
          <cell r="I328">
            <v>12</v>
          </cell>
          <cell r="J328">
            <v>21</v>
          </cell>
          <cell r="K328">
            <v>13</v>
          </cell>
          <cell r="R328">
            <v>0</v>
          </cell>
          <cell r="S328" t="str">
            <v>godz.12:40</v>
          </cell>
          <cell r="X328">
            <v>47</v>
          </cell>
          <cell r="Y328" t="str">
            <v>Open</v>
          </cell>
          <cell r="Z328" t="str">
            <v>P0003</v>
          </cell>
          <cell r="AA328" t="str">
            <v/>
          </cell>
          <cell r="AB328" t="str">
            <v>M0012</v>
          </cell>
          <cell r="AC328" t="str">
            <v/>
          </cell>
          <cell r="AD328" t="str">
            <v>P0003</v>
          </cell>
          <cell r="AE328" t="str">
            <v/>
          </cell>
          <cell r="AF328" t="str">
            <v>21:12,21:13</v>
          </cell>
          <cell r="AG328" t="str">
            <v>12:21,13:21</v>
          </cell>
          <cell r="AH328" t="str">
            <v/>
          </cell>
          <cell r="AI328">
            <v>21</v>
          </cell>
          <cell r="AJ328">
            <v>12</v>
          </cell>
          <cell r="AK328">
            <v>21</v>
          </cell>
          <cell r="AL328">
            <v>13</v>
          </cell>
          <cell r="AM328">
            <v>0</v>
          </cell>
          <cell r="AN328">
            <v>0</v>
          </cell>
        </row>
        <row r="329">
          <cell r="A329" t="str">
            <v/>
          </cell>
          <cell r="B329" t="str">
            <v>Łukasz PIENIĄŻEK (Rzeszów)</v>
          </cell>
          <cell r="H329" t="str">
            <v>P0003</v>
          </cell>
          <cell r="K329" t="str">
            <v>M0012</v>
          </cell>
          <cell r="N329" t="str">
            <v>Jarosław MAZUR (Mielec)</v>
          </cell>
        </row>
        <row r="330">
          <cell r="A330" t="str">
            <v/>
          </cell>
          <cell r="B330" t="str">
            <v/>
          </cell>
          <cell r="H330" t="str">
            <v/>
          </cell>
          <cell r="K330" t="str">
            <v/>
          </cell>
          <cell r="N330" t="str">
            <v/>
          </cell>
        </row>
        <row r="332">
          <cell r="B332" t="str">
            <v>zwycięzca(cy): 21:12,21:13</v>
          </cell>
          <cell r="K332" t="str">
            <v/>
          </cell>
        </row>
        <row r="333">
          <cell r="B333">
            <v>48</v>
          </cell>
          <cell r="C333" t="str">
            <v>dzień turnieju.</v>
          </cell>
          <cell r="I333" t="str">
            <v>Nr meczu</v>
          </cell>
          <cell r="N333" t="str">
            <v>Godz.</v>
          </cell>
          <cell r="R333" t="str">
            <v>S. prow.</v>
          </cell>
          <cell r="AF333" t="str">
            <v>wygrany</v>
          </cell>
          <cell r="AG333" t="str">
            <v>przegrany</v>
          </cell>
        </row>
        <row r="334">
          <cell r="B334" t="str">
            <v>Boisko</v>
          </cell>
          <cell r="C334" t="str">
            <v>Gra</v>
          </cell>
          <cell r="I334">
            <v>48</v>
          </cell>
          <cell r="N334" t="str">
            <v>rozp.</v>
          </cell>
          <cell r="P334" t="str">
            <v>zak.</v>
          </cell>
          <cell r="R334" t="str">
            <v>S. serw.</v>
          </cell>
        </row>
        <row r="335">
          <cell r="A335">
            <v>48</v>
          </cell>
          <cell r="C335" t="str">
            <v>Open</v>
          </cell>
          <cell r="H335">
            <v>5</v>
          </cell>
          <cell r="I335">
            <v>21</v>
          </cell>
          <cell r="J335">
            <v>12</v>
          </cell>
          <cell r="K335">
            <v>21</v>
          </cell>
          <cell r="R335">
            <v>0</v>
          </cell>
          <cell r="S335" t="str">
            <v>godz.12:40</v>
          </cell>
          <cell r="X335">
            <v>48</v>
          </cell>
          <cell r="Y335" t="str">
            <v>Open</v>
          </cell>
          <cell r="Z335" t="str">
            <v>G0011</v>
          </cell>
          <cell r="AA335" t="str">
            <v/>
          </cell>
          <cell r="AB335" t="str">
            <v>K0014</v>
          </cell>
          <cell r="AC335" t="str">
            <v/>
          </cell>
          <cell r="AD335" t="str">
            <v>K0014</v>
          </cell>
          <cell r="AE335" t="str">
            <v/>
          </cell>
          <cell r="AF335" t="str">
            <v>21:5,21:12</v>
          </cell>
          <cell r="AG335" t="str">
            <v>5:21,12:21</v>
          </cell>
          <cell r="AH335" t="str">
            <v/>
          </cell>
          <cell r="AI335">
            <v>5</v>
          </cell>
          <cell r="AJ335">
            <v>21</v>
          </cell>
          <cell r="AK335">
            <v>12</v>
          </cell>
          <cell r="AL335">
            <v>21</v>
          </cell>
          <cell r="AM335">
            <v>0</v>
          </cell>
          <cell r="AN335">
            <v>0</v>
          </cell>
        </row>
        <row r="336">
          <cell r="A336" t="str">
            <v/>
          </cell>
          <cell r="B336" t="str">
            <v>Jakub GERCZAK (Rzeszów)</v>
          </cell>
          <cell r="H336" t="str">
            <v>G0011</v>
          </cell>
          <cell r="K336" t="str">
            <v>K0014</v>
          </cell>
          <cell r="N336" t="str">
            <v>Zdzisław KULA  (Tarnów)</v>
          </cell>
        </row>
        <row r="337">
          <cell r="A337" t="str">
            <v/>
          </cell>
          <cell r="B337" t="str">
            <v/>
          </cell>
          <cell r="H337" t="str">
            <v/>
          </cell>
          <cell r="K337" t="str">
            <v/>
          </cell>
          <cell r="N337" t="str">
            <v/>
          </cell>
        </row>
        <row r="339">
          <cell r="B339" t="str">
            <v/>
          </cell>
          <cell r="K339" t="str">
            <v>zwycięzca(cy): 21:5,21:12</v>
          </cell>
        </row>
        <row r="340">
          <cell r="B340">
            <v>49</v>
          </cell>
          <cell r="C340" t="str">
            <v>dzień turnieju.</v>
          </cell>
          <cell r="I340" t="str">
            <v>Nr meczu</v>
          </cell>
          <cell r="N340" t="str">
            <v>Godz.</v>
          </cell>
          <cell r="R340" t="str">
            <v>S. prow.</v>
          </cell>
          <cell r="AF340" t="str">
            <v>wygrany</v>
          </cell>
          <cell r="AG340" t="str">
            <v>przegrany</v>
          </cell>
        </row>
        <row r="341">
          <cell r="B341" t="str">
            <v>Boisko</v>
          </cell>
          <cell r="C341" t="str">
            <v>Gra</v>
          </cell>
          <cell r="I341">
            <v>49</v>
          </cell>
          <cell r="N341" t="str">
            <v>rozp.</v>
          </cell>
          <cell r="P341" t="str">
            <v>zak.</v>
          </cell>
          <cell r="R341" t="str">
            <v>S. serw.</v>
          </cell>
        </row>
        <row r="342">
          <cell r="A342">
            <v>49</v>
          </cell>
          <cell r="C342" t="str">
            <v>Open</v>
          </cell>
          <cell r="H342">
            <v>21</v>
          </cell>
          <cell r="I342">
            <v>14</v>
          </cell>
          <cell r="J342">
            <v>21</v>
          </cell>
          <cell r="K342">
            <v>12</v>
          </cell>
          <cell r="R342">
            <v>0</v>
          </cell>
          <cell r="S342" t="str">
            <v>godz.13:00</v>
          </cell>
          <cell r="X342">
            <v>49</v>
          </cell>
          <cell r="Y342" t="str">
            <v>Open</v>
          </cell>
          <cell r="Z342" t="str">
            <v>M0019</v>
          </cell>
          <cell r="AA342" t="str">
            <v/>
          </cell>
          <cell r="AB342" t="str">
            <v>I0002</v>
          </cell>
          <cell r="AC342" t="str">
            <v/>
          </cell>
          <cell r="AD342" t="str">
            <v>M0019</v>
          </cell>
          <cell r="AE342" t="str">
            <v/>
          </cell>
          <cell r="AF342" t="str">
            <v>21:14,21:12</v>
          </cell>
          <cell r="AG342" t="str">
            <v>14:21,12:21</v>
          </cell>
          <cell r="AH342" t="str">
            <v/>
          </cell>
          <cell r="AI342">
            <v>21</v>
          </cell>
          <cell r="AJ342">
            <v>14</v>
          </cell>
          <cell r="AK342">
            <v>21</v>
          </cell>
          <cell r="AL342">
            <v>12</v>
          </cell>
          <cell r="AM342">
            <v>0</v>
          </cell>
          <cell r="AN342">
            <v>0</v>
          </cell>
        </row>
        <row r="343">
          <cell r="A343" t="str">
            <v/>
          </cell>
          <cell r="B343" t="str">
            <v>Grzegorz MAC  (Rzeszów)</v>
          </cell>
          <cell r="H343" t="str">
            <v>M0019</v>
          </cell>
          <cell r="K343" t="str">
            <v>I0002</v>
          </cell>
          <cell r="N343" t="str">
            <v>Igor IWAŃSKI (Mielec)</v>
          </cell>
        </row>
        <row r="344">
          <cell r="A344" t="str">
            <v/>
          </cell>
          <cell r="B344" t="str">
            <v/>
          </cell>
          <cell r="H344" t="str">
            <v/>
          </cell>
          <cell r="K344" t="str">
            <v/>
          </cell>
          <cell r="N344" t="str">
            <v/>
          </cell>
        </row>
        <row r="346">
          <cell r="B346" t="str">
            <v>zwycięzca(cy): 21:14,21:12</v>
          </cell>
          <cell r="K346" t="str">
            <v/>
          </cell>
        </row>
        <row r="347">
          <cell r="B347">
            <v>50</v>
          </cell>
          <cell r="C347" t="str">
            <v>dzień turnieju.</v>
          </cell>
          <cell r="I347" t="str">
            <v>Nr meczu</v>
          </cell>
          <cell r="N347" t="str">
            <v>Godz.</v>
          </cell>
          <cell r="R347" t="str">
            <v>S. prow.</v>
          </cell>
          <cell r="AF347" t="str">
            <v>wygrany</v>
          </cell>
          <cell r="AG347" t="str">
            <v>przegrany</v>
          </cell>
        </row>
        <row r="348">
          <cell r="B348" t="str">
            <v>Boisko</v>
          </cell>
          <cell r="C348" t="str">
            <v>Gra</v>
          </cell>
          <cell r="I348">
            <v>50</v>
          </cell>
          <cell r="N348" t="str">
            <v>rozp.</v>
          </cell>
          <cell r="P348" t="str">
            <v>zak.</v>
          </cell>
          <cell r="R348" t="str">
            <v>S. serw.</v>
          </cell>
        </row>
        <row r="349">
          <cell r="A349">
            <v>50</v>
          </cell>
          <cell r="C349" t="str">
            <v>Open</v>
          </cell>
          <cell r="H349">
            <v>16</v>
          </cell>
          <cell r="I349">
            <v>21</v>
          </cell>
          <cell r="J349">
            <v>14</v>
          </cell>
          <cell r="K349">
            <v>21</v>
          </cell>
          <cell r="R349">
            <v>0</v>
          </cell>
          <cell r="S349" t="str">
            <v>godz.13:00</v>
          </cell>
          <cell r="X349">
            <v>50</v>
          </cell>
          <cell r="Y349" t="str">
            <v>Open</v>
          </cell>
          <cell r="Z349" t="str">
            <v>Ś0002</v>
          </cell>
          <cell r="AA349" t="str">
            <v/>
          </cell>
          <cell r="AB349" t="str">
            <v>G0002</v>
          </cell>
          <cell r="AC349" t="str">
            <v/>
          </cell>
          <cell r="AD349" t="str">
            <v>G0002</v>
          </cell>
          <cell r="AE349" t="str">
            <v/>
          </cell>
          <cell r="AF349" t="str">
            <v>21:16,21:14</v>
          </cell>
          <cell r="AG349" t="str">
            <v>16:21,14:21</v>
          </cell>
          <cell r="AH349" t="str">
            <v/>
          </cell>
          <cell r="AI349">
            <v>16</v>
          </cell>
          <cell r="AJ349">
            <v>21</v>
          </cell>
          <cell r="AK349">
            <v>14</v>
          </cell>
          <cell r="AL349">
            <v>21</v>
          </cell>
          <cell r="AM349">
            <v>0</v>
          </cell>
          <cell r="AN349">
            <v>0</v>
          </cell>
        </row>
        <row r="350">
          <cell r="A350" t="str">
            <v/>
          </cell>
          <cell r="B350" t="str">
            <v>Ernest ŚCIPIEŃ (Nowa Dęba)</v>
          </cell>
          <cell r="H350" t="str">
            <v>Ś0002</v>
          </cell>
          <cell r="K350" t="str">
            <v>G0002</v>
          </cell>
          <cell r="N350" t="str">
            <v>Jarosław GÓRSKI (Gorlice)</v>
          </cell>
        </row>
        <row r="351">
          <cell r="A351" t="str">
            <v/>
          </cell>
          <cell r="B351" t="str">
            <v/>
          </cell>
          <cell r="H351" t="str">
            <v/>
          </cell>
          <cell r="K351" t="str">
            <v/>
          </cell>
          <cell r="N351" t="str">
            <v/>
          </cell>
        </row>
        <row r="353">
          <cell r="B353" t="str">
            <v/>
          </cell>
          <cell r="K353" t="str">
            <v>zwycięzca(cy): 21:16,21:14</v>
          </cell>
        </row>
        <row r="354">
          <cell r="B354">
            <v>51</v>
          </cell>
          <cell r="C354" t="str">
            <v>dzień turnieju.</v>
          </cell>
          <cell r="I354" t="str">
            <v>Nr meczu</v>
          </cell>
          <cell r="N354" t="str">
            <v>Godz.</v>
          </cell>
          <cell r="R354" t="str">
            <v>S. prow.</v>
          </cell>
          <cell r="AF354" t="str">
            <v>wygrany</v>
          </cell>
          <cell r="AG354" t="str">
            <v>przegrany</v>
          </cell>
        </row>
        <row r="355">
          <cell r="B355" t="str">
            <v>Boisko</v>
          </cell>
          <cell r="C355" t="str">
            <v>Gra</v>
          </cell>
          <cell r="I355">
            <v>51</v>
          </cell>
          <cell r="N355" t="str">
            <v>rozp.</v>
          </cell>
          <cell r="P355" t="str">
            <v>zak.</v>
          </cell>
          <cell r="R355" t="str">
            <v>S. serw.</v>
          </cell>
        </row>
        <row r="356">
          <cell r="A356">
            <v>51</v>
          </cell>
          <cell r="C356" t="str">
            <v>Open</v>
          </cell>
          <cell r="H356">
            <v>21</v>
          </cell>
          <cell r="I356">
            <v>19</v>
          </cell>
          <cell r="J356">
            <v>21</v>
          </cell>
          <cell r="K356">
            <v>6</v>
          </cell>
          <cell r="R356">
            <v>0</v>
          </cell>
          <cell r="S356" t="str">
            <v>godz.13:00</v>
          </cell>
          <cell r="X356">
            <v>51</v>
          </cell>
          <cell r="Y356" t="str">
            <v>Open</v>
          </cell>
          <cell r="Z356" t="str">
            <v>P0003</v>
          </cell>
          <cell r="AA356" t="str">
            <v/>
          </cell>
          <cell r="AB356" t="str">
            <v>K0014</v>
          </cell>
          <cell r="AC356" t="str">
            <v/>
          </cell>
          <cell r="AD356" t="str">
            <v>P0003</v>
          </cell>
          <cell r="AE356" t="str">
            <v/>
          </cell>
          <cell r="AF356" t="str">
            <v>21:19,21:6</v>
          </cell>
          <cell r="AG356" t="str">
            <v>19:21,6:21</v>
          </cell>
          <cell r="AH356" t="str">
            <v/>
          </cell>
          <cell r="AI356">
            <v>21</v>
          </cell>
          <cell r="AJ356">
            <v>19</v>
          </cell>
          <cell r="AK356">
            <v>21</v>
          </cell>
          <cell r="AL356">
            <v>6</v>
          </cell>
          <cell r="AM356">
            <v>0</v>
          </cell>
          <cell r="AN356">
            <v>0</v>
          </cell>
        </row>
        <row r="357">
          <cell r="A357" t="str">
            <v/>
          </cell>
          <cell r="B357" t="str">
            <v>Łukasz PIENIĄŻEK (Rzeszów)</v>
          </cell>
          <cell r="H357" t="str">
            <v>P0003</v>
          </cell>
          <cell r="K357" t="str">
            <v>K0014</v>
          </cell>
          <cell r="N357" t="str">
            <v>Zdzisław KULA  (Tarnów)</v>
          </cell>
        </row>
        <row r="358">
          <cell r="A358" t="str">
            <v/>
          </cell>
          <cell r="B358" t="str">
            <v/>
          </cell>
          <cell r="H358" t="str">
            <v/>
          </cell>
          <cell r="K358" t="str">
            <v/>
          </cell>
          <cell r="N358" t="str">
            <v/>
          </cell>
        </row>
        <row r="360">
          <cell r="B360" t="str">
            <v>zwycięzca(cy): 21:19,21:6</v>
          </cell>
          <cell r="K360" t="str">
            <v/>
          </cell>
        </row>
        <row r="361">
          <cell r="B361">
            <v>52</v>
          </cell>
          <cell r="C361" t="str">
            <v>dzień turnieju.</v>
          </cell>
          <cell r="I361" t="str">
            <v>Nr meczu</v>
          </cell>
          <cell r="N361" t="str">
            <v>Godz.</v>
          </cell>
          <cell r="R361" t="str">
            <v>S. prow.</v>
          </cell>
          <cell r="AF361" t="str">
            <v>wygrany</v>
          </cell>
          <cell r="AG361" t="str">
            <v>przegrany</v>
          </cell>
        </row>
        <row r="362">
          <cell r="B362" t="str">
            <v>Boisko</v>
          </cell>
          <cell r="C362" t="str">
            <v>Gra</v>
          </cell>
          <cell r="I362">
            <v>52</v>
          </cell>
          <cell r="N362" t="str">
            <v>rozp.</v>
          </cell>
          <cell r="P362" t="str">
            <v>zak.</v>
          </cell>
          <cell r="R362" t="str">
            <v>S. serw.</v>
          </cell>
        </row>
        <row r="363">
          <cell r="A363">
            <v>52</v>
          </cell>
          <cell r="C363" t="str">
            <v>Open</v>
          </cell>
          <cell r="H363">
            <v>21</v>
          </cell>
          <cell r="I363">
            <v>17</v>
          </cell>
          <cell r="J363">
            <v>16</v>
          </cell>
          <cell r="K363">
            <v>21</v>
          </cell>
          <cell r="L363">
            <v>16</v>
          </cell>
          <cell r="M363">
            <v>21</v>
          </cell>
          <cell r="R363">
            <v>0</v>
          </cell>
          <cell r="S363" t="str">
            <v>godz.13:00</v>
          </cell>
          <cell r="X363">
            <v>52</v>
          </cell>
          <cell r="Y363" t="str">
            <v>Open</v>
          </cell>
          <cell r="Z363" t="str">
            <v>G0011</v>
          </cell>
          <cell r="AA363" t="str">
            <v/>
          </cell>
          <cell r="AB363" t="str">
            <v>M0012</v>
          </cell>
          <cell r="AC363" t="str">
            <v/>
          </cell>
          <cell r="AD363" t="str">
            <v>M0012</v>
          </cell>
          <cell r="AE363" t="str">
            <v/>
          </cell>
          <cell r="AF363" t="str">
            <v>17:21,21:16,21:16</v>
          </cell>
          <cell r="AG363" t="str">
            <v>21:17,16:21,16:21</v>
          </cell>
          <cell r="AH363" t="str">
            <v/>
          </cell>
          <cell r="AI363">
            <v>21</v>
          </cell>
          <cell r="AJ363">
            <v>17</v>
          </cell>
          <cell r="AK363">
            <v>16</v>
          </cell>
          <cell r="AL363">
            <v>21</v>
          </cell>
          <cell r="AM363">
            <v>16</v>
          </cell>
          <cell r="AN363">
            <v>21</v>
          </cell>
        </row>
        <row r="364">
          <cell r="A364" t="str">
            <v/>
          </cell>
          <cell r="B364" t="str">
            <v>Jakub GERCZAK (Rzeszów)</v>
          </cell>
          <cell r="H364" t="str">
            <v>G0011</v>
          </cell>
          <cell r="K364" t="str">
            <v>M0012</v>
          </cell>
          <cell r="N364" t="str">
            <v>Jarosław MAZUR (Mielec)</v>
          </cell>
        </row>
        <row r="365">
          <cell r="A365" t="str">
            <v/>
          </cell>
          <cell r="B365" t="str">
            <v/>
          </cell>
          <cell r="H365" t="str">
            <v/>
          </cell>
          <cell r="K365" t="str">
            <v/>
          </cell>
          <cell r="N365" t="str">
            <v/>
          </cell>
        </row>
        <row r="367">
          <cell r="B367" t="str">
            <v/>
          </cell>
          <cell r="K367" t="str">
            <v>zwycięzca(cy): 17:21,21:16,21:16</v>
          </cell>
        </row>
        <row r="368">
          <cell r="B368">
            <v>53</v>
          </cell>
          <cell r="C368" t="str">
            <v>dzień turnieju.</v>
          </cell>
          <cell r="I368" t="str">
            <v>Nr meczu</v>
          </cell>
          <cell r="N368" t="str">
            <v>Godz.</v>
          </cell>
          <cell r="R368" t="str">
            <v>S. prow.</v>
          </cell>
          <cell r="AF368" t="str">
            <v>wygrany</v>
          </cell>
          <cell r="AG368" t="str">
            <v>przegrany</v>
          </cell>
        </row>
        <row r="369">
          <cell r="B369" t="str">
            <v>Boisko</v>
          </cell>
          <cell r="C369" t="str">
            <v>Gra</v>
          </cell>
          <cell r="I369">
            <v>53</v>
          </cell>
          <cell r="N369" t="str">
            <v>rozp.</v>
          </cell>
          <cell r="P369" t="str">
            <v>zak.</v>
          </cell>
          <cell r="R369" t="str">
            <v>S. serw.</v>
          </cell>
        </row>
        <row r="370">
          <cell r="A370">
            <v>53</v>
          </cell>
          <cell r="C370" t="str">
            <v>Open</v>
          </cell>
          <cell r="H370">
            <v>21</v>
          </cell>
          <cell r="I370">
            <v>9</v>
          </cell>
          <cell r="J370">
            <v>21</v>
          </cell>
          <cell r="K370">
            <v>18</v>
          </cell>
          <cell r="R370">
            <v>0</v>
          </cell>
          <cell r="S370" t="str">
            <v>godz.13:20</v>
          </cell>
          <cell r="X370">
            <v>53</v>
          </cell>
          <cell r="Y370" t="str">
            <v>Open</v>
          </cell>
          <cell r="Z370" t="str">
            <v>W0010</v>
          </cell>
          <cell r="AA370" t="str">
            <v/>
          </cell>
          <cell r="AB370" t="str">
            <v>I0002</v>
          </cell>
          <cell r="AC370" t="str">
            <v/>
          </cell>
          <cell r="AD370" t="str">
            <v>W0010</v>
          </cell>
          <cell r="AE370" t="str">
            <v/>
          </cell>
          <cell r="AF370" t="str">
            <v>21:9,21:18</v>
          </cell>
          <cell r="AG370" t="str">
            <v>9:21,18:21</v>
          </cell>
          <cell r="AH370" t="str">
            <v/>
          </cell>
          <cell r="AI370">
            <v>21</v>
          </cell>
          <cell r="AJ370">
            <v>9</v>
          </cell>
          <cell r="AK370">
            <v>21</v>
          </cell>
          <cell r="AL370">
            <v>18</v>
          </cell>
          <cell r="AM370">
            <v>0</v>
          </cell>
          <cell r="AN370">
            <v>0</v>
          </cell>
        </row>
        <row r="371">
          <cell r="A371" t="str">
            <v/>
          </cell>
          <cell r="B371" t="str">
            <v>Dariusz WALAS (Rzeszów)</v>
          </cell>
          <cell r="H371" t="str">
            <v>W0010</v>
          </cell>
          <cell r="K371" t="str">
            <v>I0002</v>
          </cell>
          <cell r="N371" t="str">
            <v>Igor IWAŃSKI (Mielec)</v>
          </cell>
        </row>
        <row r="372">
          <cell r="A372" t="str">
            <v/>
          </cell>
          <cell r="B372" t="str">
            <v/>
          </cell>
          <cell r="H372" t="str">
            <v/>
          </cell>
          <cell r="K372" t="str">
            <v/>
          </cell>
          <cell r="N372" t="str">
            <v/>
          </cell>
        </row>
        <row r="374">
          <cell r="B374" t="str">
            <v>zwycięzca(cy): 21:9,21:18</v>
          </cell>
          <cell r="K374" t="str">
            <v/>
          </cell>
        </row>
        <row r="375">
          <cell r="B375">
            <v>54</v>
          </cell>
          <cell r="C375" t="str">
            <v>dzień turnieju.</v>
          </cell>
          <cell r="I375" t="str">
            <v>Nr meczu</v>
          </cell>
          <cell r="N375" t="str">
            <v>Godz.</v>
          </cell>
          <cell r="R375" t="str">
            <v>S. prow.</v>
          </cell>
          <cell r="AF375" t="str">
            <v>wygrany</v>
          </cell>
          <cell r="AG375" t="str">
            <v>przegrany</v>
          </cell>
        </row>
        <row r="376">
          <cell r="B376" t="str">
            <v>Boisko</v>
          </cell>
          <cell r="C376" t="str">
            <v>Gra</v>
          </cell>
          <cell r="I376">
            <v>54</v>
          </cell>
          <cell r="N376" t="str">
            <v>rozp.</v>
          </cell>
          <cell r="P376" t="str">
            <v>zak.</v>
          </cell>
          <cell r="R376" t="str">
            <v>S. serw.</v>
          </cell>
        </row>
        <row r="377">
          <cell r="A377">
            <v>54</v>
          </cell>
          <cell r="C377" t="str">
            <v>Open</v>
          </cell>
          <cell r="H377">
            <v>18</v>
          </cell>
          <cell r="I377">
            <v>21</v>
          </cell>
          <cell r="J377">
            <v>13</v>
          </cell>
          <cell r="K377">
            <v>21</v>
          </cell>
          <cell r="R377">
            <v>0</v>
          </cell>
          <cell r="S377" t="str">
            <v>godz.13:20</v>
          </cell>
          <cell r="X377">
            <v>54</v>
          </cell>
          <cell r="Y377" t="str">
            <v>Open</v>
          </cell>
          <cell r="Z377" t="str">
            <v>K0034</v>
          </cell>
          <cell r="AA377" t="str">
            <v/>
          </cell>
          <cell r="AB377" t="str">
            <v>G0002</v>
          </cell>
          <cell r="AC377" t="str">
            <v/>
          </cell>
          <cell r="AD377" t="str">
            <v>G0002</v>
          </cell>
          <cell r="AE377" t="str">
            <v/>
          </cell>
          <cell r="AF377" t="str">
            <v>21:18,21:13</v>
          </cell>
          <cell r="AG377" t="str">
            <v>18:21,13:21</v>
          </cell>
          <cell r="AH377" t="str">
            <v/>
          </cell>
          <cell r="AI377">
            <v>18</v>
          </cell>
          <cell r="AJ377">
            <v>21</v>
          </cell>
          <cell r="AK377">
            <v>13</v>
          </cell>
          <cell r="AL377">
            <v>21</v>
          </cell>
          <cell r="AM377">
            <v>0</v>
          </cell>
          <cell r="AN377">
            <v>0</v>
          </cell>
        </row>
        <row r="378">
          <cell r="A378" t="str">
            <v/>
          </cell>
          <cell r="B378" t="str">
            <v>Marcin KOWALIK (Rzeszów)</v>
          </cell>
          <cell r="H378" t="str">
            <v>K0034</v>
          </cell>
          <cell r="K378" t="str">
            <v>G0002</v>
          </cell>
          <cell r="N378" t="str">
            <v>Jarosław GÓRSKI (Gorlice)</v>
          </cell>
        </row>
        <row r="379">
          <cell r="A379" t="str">
            <v/>
          </cell>
          <cell r="B379" t="str">
            <v/>
          </cell>
          <cell r="H379" t="str">
            <v/>
          </cell>
          <cell r="K379" t="str">
            <v/>
          </cell>
          <cell r="N379" t="str">
            <v/>
          </cell>
        </row>
        <row r="381">
          <cell r="B381" t="str">
            <v/>
          </cell>
          <cell r="K381" t="str">
            <v>zwycięzca(cy): 21:18,21:13</v>
          </cell>
        </row>
        <row r="382">
          <cell r="B382">
            <v>55</v>
          </cell>
          <cell r="C382" t="str">
            <v>dzień turnieju.</v>
          </cell>
          <cell r="I382" t="str">
            <v>Nr meczu</v>
          </cell>
          <cell r="N382" t="str">
            <v>Godz.</v>
          </cell>
          <cell r="R382" t="str">
            <v>S. prow.</v>
          </cell>
          <cell r="AF382" t="str">
            <v>wygrany</v>
          </cell>
          <cell r="AG382" t="str">
            <v>przegrany</v>
          </cell>
        </row>
        <row r="383">
          <cell r="B383" t="str">
            <v>Boisko</v>
          </cell>
          <cell r="C383" t="str">
            <v>Gra</v>
          </cell>
          <cell r="I383">
            <v>55</v>
          </cell>
          <cell r="N383" t="str">
            <v>rozp.</v>
          </cell>
          <cell r="P383" t="str">
            <v>zak.</v>
          </cell>
          <cell r="R383" t="str">
            <v>S. serw.</v>
          </cell>
        </row>
        <row r="384">
          <cell r="A384">
            <v>55</v>
          </cell>
          <cell r="C384" t="str">
            <v>Open</v>
          </cell>
          <cell r="H384">
            <v>21</v>
          </cell>
          <cell r="I384">
            <v>16</v>
          </cell>
          <cell r="J384">
            <v>21</v>
          </cell>
          <cell r="K384">
            <v>17</v>
          </cell>
          <cell r="R384">
            <v>0</v>
          </cell>
          <cell r="S384" t="str">
            <v>godz.13:20</v>
          </cell>
          <cell r="X384">
            <v>55</v>
          </cell>
          <cell r="Y384" t="str">
            <v>Open</v>
          </cell>
          <cell r="Z384" t="str">
            <v>M0012</v>
          </cell>
          <cell r="AA384" t="str">
            <v/>
          </cell>
          <cell r="AB384" t="str">
            <v>K0014</v>
          </cell>
          <cell r="AC384" t="str">
            <v/>
          </cell>
          <cell r="AD384" t="str">
            <v>M0012</v>
          </cell>
          <cell r="AE384" t="str">
            <v/>
          </cell>
          <cell r="AF384" t="str">
            <v>21:16,21:17</v>
          </cell>
          <cell r="AG384" t="str">
            <v>16:21,17:21</v>
          </cell>
          <cell r="AH384" t="str">
            <v/>
          </cell>
          <cell r="AI384">
            <v>21</v>
          </cell>
          <cell r="AJ384">
            <v>16</v>
          </cell>
          <cell r="AK384">
            <v>21</v>
          </cell>
          <cell r="AL384">
            <v>17</v>
          </cell>
          <cell r="AM384">
            <v>0</v>
          </cell>
          <cell r="AN384">
            <v>0</v>
          </cell>
        </row>
        <row r="385">
          <cell r="A385" t="str">
            <v/>
          </cell>
          <cell r="B385" t="str">
            <v>Jarosław MAZUR (Mielec)</v>
          </cell>
          <cell r="H385" t="str">
            <v>M0012</v>
          </cell>
          <cell r="K385" t="str">
            <v>K0014</v>
          </cell>
          <cell r="N385" t="str">
            <v>Zdzisław KULA  (Tarnów)</v>
          </cell>
        </row>
        <row r="386">
          <cell r="A386" t="str">
            <v/>
          </cell>
          <cell r="B386" t="str">
            <v/>
          </cell>
          <cell r="H386" t="str">
            <v/>
          </cell>
          <cell r="K386" t="str">
            <v/>
          </cell>
          <cell r="N386" t="str">
            <v/>
          </cell>
        </row>
        <row r="388">
          <cell r="B388" t="str">
            <v>zwycięzca(cy): 21:16,21:17</v>
          </cell>
          <cell r="K388" t="str">
            <v/>
          </cell>
        </row>
        <row r="389">
          <cell r="B389">
            <v>56</v>
          </cell>
          <cell r="C389" t="str">
            <v>dzień turnieju.</v>
          </cell>
          <cell r="I389" t="str">
            <v>Nr meczu</v>
          </cell>
          <cell r="N389" t="str">
            <v>Godz.</v>
          </cell>
          <cell r="R389" t="str">
            <v>S. prow.</v>
          </cell>
          <cell r="AF389" t="str">
            <v>wygrany</v>
          </cell>
          <cell r="AG389" t="str">
            <v>przegrany</v>
          </cell>
        </row>
        <row r="390">
          <cell r="B390" t="str">
            <v>Boisko</v>
          </cell>
          <cell r="C390" t="str">
            <v>Gra</v>
          </cell>
          <cell r="I390">
            <v>56</v>
          </cell>
          <cell r="N390" t="str">
            <v>rozp.</v>
          </cell>
          <cell r="P390" t="str">
            <v>zak.</v>
          </cell>
          <cell r="R390" t="str">
            <v>S. serw.</v>
          </cell>
        </row>
        <row r="391">
          <cell r="A391">
            <v>56</v>
          </cell>
          <cell r="C391" t="str">
            <v>Open</v>
          </cell>
          <cell r="H391">
            <v>21</v>
          </cell>
          <cell r="I391">
            <v>8</v>
          </cell>
          <cell r="J391">
            <v>21</v>
          </cell>
          <cell r="K391">
            <v>5</v>
          </cell>
          <cell r="R391">
            <v>0</v>
          </cell>
          <cell r="S391" t="str">
            <v>godz.13:20</v>
          </cell>
          <cell r="X391">
            <v>56</v>
          </cell>
          <cell r="Y391" t="str">
            <v>Open</v>
          </cell>
          <cell r="Z391" t="str">
            <v>P0003</v>
          </cell>
          <cell r="AA391" t="str">
            <v/>
          </cell>
          <cell r="AB391" t="str">
            <v>G0011</v>
          </cell>
          <cell r="AC391" t="str">
            <v/>
          </cell>
          <cell r="AD391" t="str">
            <v>P0003</v>
          </cell>
          <cell r="AE391" t="str">
            <v/>
          </cell>
          <cell r="AF391" t="str">
            <v>21:8,21:5</v>
          </cell>
          <cell r="AG391" t="str">
            <v>8:21,5:21</v>
          </cell>
          <cell r="AH391" t="str">
            <v/>
          </cell>
          <cell r="AI391">
            <v>21</v>
          </cell>
          <cell r="AJ391">
            <v>8</v>
          </cell>
          <cell r="AK391">
            <v>21</v>
          </cell>
          <cell r="AL391">
            <v>5</v>
          </cell>
          <cell r="AM391">
            <v>0</v>
          </cell>
          <cell r="AN391">
            <v>0</v>
          </cell>
        </row>
        <row r="392">
          <cell r="A392" t="str">
            <v/>
          </cell>
          <cell r="B392" t="str">
            <v>Łukasz PIENIĄŻEK (Rzeszów)</v>
          </cell>
          <cell r="H392" t="str">
            <v>P0003</v>
          </cell>
          <cell r="K392" t="str">
            <v>G0011</v>
          </cell>
          <cell r="N392" t="str">
            <v>Jakub GERCZAK (Rzeszów)</v>
          </cell>
        </row>
        <row r="393">
          <cell r="A393" t="str">
            <v/>
          </cell>
          <cell r="B393" t="str">
            <v/>
          </cell>
          <cell r="H393" t="str">
            <v/>
          </cell>
          <cell r="K393" t="str">
            <v/>
          </cell>
          <cell r="N393" t="str">
            <v/>
          </cell>
        </row>
        <row r="395">
          <cell r="B395" t="str">
            <v>zwycięzca(cy): 21:8,21:5</v>
          </cell>
          <cell r="K395" t="str">
            <v/>
          </cell>
        </row>
        <row r="396">
          <cell r="B396">
            <v>57</v>
          </cell>
          <cell r="C396" t="str">
            <v>dzień turnieju.</v>
          </cell>
          <cell r="I396" t="str">
            <v>Nr meczu</v>
          </cell>
          <cell r="N396" t="str">
            <v>Godz.</v>
          </cell>
          <cell r="R396" t="str">
            <v>S. prow.</v>
          </cell>
          <cell r="AF396" t="str">
            <v>wygrany</v>
          </cell>
          <cell r="AG396" t="str">
            <v>przegrany</v>
          </cell>
        </row>
        <row r="397">
          <cell r="B397" t="str">
            <v>Boisko</v>
          </cell>
          <cell r="C397" t="str">
            <v>Gra</v>
          </cell>
          <cell r="I397">
            <v>57</v>
          </cell>
          <cell r="N397" t="str">
            <v>rozp.</v>
          </cell>
          <cell r="P397" t="str">
            <v>zak.</v>
          </cell>
          <cell r="R397" t="str">
            <v>S. serw.</v>
          </cell>
        </row>
        <row r="398">
          <cell r="A398">
            <v>57</v>
          </cell>
          <cell r="C398" t="str">
            <v>Open</v>
          </cell>
          <cell r="H398">
            <v>21</v>
          </cell>
          <cell r="I398">
            <v>14</v>
          </cell>
          <cell r="J398">
            <v>8</v>
          </cell>
          <cell r="K398">
            <v>21</v>
          </cell>
          <cell r="L398">
            <v>9</v>
          </cell>
          <cell r="M398">
            <v>21</v>
          </cell>
          <cell r="R398">
            <v>0</v>
          </cell>
          <cell r="S398" t="str">
            <v>godz.13:40</v>
          </cell>
          <cell r="X398">
            <v>57</v>
          </cell>
          <cell r="Y398" t="str">
            <v>Open</v>
          </cell>
          <cell r="Z398" t="str">
            <v>M0019</v>
          </cell>
          <cell r="AA398" t="str">
            <v/>
          </cell>
          <cell r="AB398" t="str">
            <v>W0010</v>
          </cell>
          <cell r="AC398" t="str">
            <v/>
          </cell>
          <cell r="AD398" t="str">
            <v>W0010</v>
          </cell>
          <cell r="AE398" t="str">
            <v/>
          </cell>
          <cell r="AF398" t="str">
            <v>14:21,21:8,21:9</v>
          </cell>
          <cell r="AG398" t="str">
            <v>21:14,8:21,9:21</v>
          </cell>
          <cell r="AH398" t="str">
            <v/>
          </cell>
          <cell r="AI398">
            <v>21</v>
          </cell>
          <cell r="AJ398">
            <v>14</v>
          </cell>
          <cell r="AK398">
            <v>8</v>
          </cell>
          <cell r="AL398">
            <v>21</v>
          </cell>
          <cell r="AM398">
            <v>9</v>
          </cell>
          <cell r="AN398">
            <v>21</v>
          </cell>
        </row>
        <row r="399">
          <cell r="A399" t="str">
            <v/>
          </cell>
          <cell r="B399" t="str">
            <v>Grzegorz MAC  (Rzeszów)</v>
          </cell>
          <cell r="H399" t="str">
            <v>M0019</v>
          </cell>
          <cell r="K399" t="str">
            <v>W0010</v>
          </cell>
          <cell r="N399" t="str">
            <v>Dariusz WALAS (Rzeszów)</v>
          </cell>
        </row>
        <row r="400">
          <cell r="A400" t="str">
            <v/>
          </cell>
          <cell r="B400" t="str">
            <v/>
          </cell>
          <cell r="H400" t="str">
            <v/>
          </cell>
          <cell r="K400" t="str">
            <v/>
          </cell>
          <cell r="N400" t="str">
            <v/>
          </cell>
        </row>
        <row r="402">
          <cell r="B402" t="str">
            <v/>
          </cell>
          <cell r="K402" t="str">
            <v>zwycięzca(cy): 14:21,21:8,21:9</v>
          </cell>
        </row>
        <row r="403">
          <cell r="B403">
            <v>58</v>
          </cell>
          <cell r="C403" t="str">
            <v>dzień turnieju.</v>
          </cell>
          <cell r="I403" t="str">
            <v>Nr meczu</v>
          </cell>
          <cell r="N403" t="str">
            <v>Godz.</v>
          </cell>
          <cell r="R403" t="str">
            <v>S. prow.</v>
          </cell>
          <cell r="AF403" t="str">
            <v>wygrany</v>
          </cell>
          <cell r="AG403" t="str">
            <v>przegrany</v>
          </cell>
        </row>
        <row r="404">
          <cell r="B404" t="str">
            <v>Boisko</v>
          </cell>
          <cell r="C404" t="str">
            <v>Gra</v>
          </cell>
          <cell r="I404">
            <v>58</v>
          </cell>
          <cell r="N404" t="str">
            <v>rozp.</v>
          </cell>
          <cell r="P404" t="str">
            <v>zak.</v>
          </cell>
          <cell r="R404" t="str">
            <v>S. serw.</v>
          </cell>
        </row>
        <row r="405">
          <cell r="A405">
            <v>58</v>
          </cell>
          <cell r="C405" t="str">
            <v>Open</v>
          </cell>
          <cell r="H405">
            <v>21</v>
          </cell>
          <cell r="I405">
            <v>13</v>
          </cell>
          <cell r="J405">
            <v>12</v>
          </cell>
          <cell r="K405">
            <v>21</v>
          </cell>
          <cell r="L405">
            <v>19</v>
          </cell>
          <cell r="M405">
            <v>21</v>
          </cell>
          <cell r="R405">
            <v>0</v>
          </cell>
          <cell r="S405" t="str">
            <v>godz.13:40</v>
          </cell>
          <cell r="X405">
            <v>58</v>
          </cell>
          <cell r="Y405" t="str">
            <v>Open</v>
          </cell>
          <cell r="Z405" t="str">
            <v>Ś0002</v>
          </cell>
          <cell r="AA405" t="str">
            <v/>
          </cell>
          <cell r="AB405" t="str">
            <v>K0034</v>
          </cell>
          <cell r="AC405" t="str">
            <v/>
          </cell>
          <cell r="AD405" t="str">
            <v>K0034</v>
          </cell>
          <cell r="AE405" t="str">
            <v/>
          </cell>
          <cell r="AF405" t="str">
            <v>13:21,21:12,21:19</v>
          </cell>
          <cell r="AG405" t="str">
            <v>21:13,12:21,19:21</v>
          </cell>
          <cell r="AH405" t="str">
            <v/>
          </cell>
          <cell r="AI405">
            <v>21</v>
          </cell>
          <cell r="AJ405">
            <v>13</v>
          </cell>
          <cell r="AK405">
            <v>12</v>
          </cell>
          <cell r="AL405">
            <v>21</v>
          </cell>
          <cell r="AM405">
            <v>19</v>
          </cell>
          <cell r="AN405">
            <v>21</v>
          </cell>
        </row>
        <row r="406">
          <cell r="A406" t="str">
            <v/>
          </cell>
          <cell r="B406" t="str">
            <v>Ernest ŚCIPIEŃ (Nowa Dęba)</v>
          </cell>
          <cell r="H406" t="str">
            <v>Ś0002</v>
          </cell>
          <cell r="K406" t="str">
            <v>K0034</v>
          </cell>
          <cell r="N406" t="str">
            <v>Marcin KOWALIK (Rzeszów)</v>
          </cell>
        </row>
        <row r="407">
          <cell r="A407" t="str">
            <v/>
          </cell>
          <cell r="B407" t="str">
            <v/>
          </cell>
          <cell r="H407" t="str">
            <v/>
          </cell>
          <cell r="K407" t="str">
            <v/>
          </cell>
          <cell r="N407" t="str">
            <v/>
          </cell>
        </row>
        <row r="409">
          <cell r="B409" t="str">
            <v/>
          </cell>
          <cell r="K409" t="str">
            <v>zwycięzca(cy): 13:21,21:12,21:19</v>
          </cell>
        </row>
        <row r="410">
          <cell r="B410">
            <v>59</v>
          </cell>
          <cell r="C410" t="str">
            <v>dzień turnieju.</v>
          </cell>
          <cell r="I410" t="str">
            <v>Nr meczu</v>
          </cell>
          <cell r="N410" t="str">
            <v>Godz.</v>
          </cell>
          <cell r="R410" t="str">
            <v>S. prow.</v>
          </cell>
          <cell r="AF410" t="str">
            <v>wygrany</v>
          </cell>
          <cell r="AG410" t="str">
            <v>przegrany</v>
          </cell>
        </row>
        <row r="411">
          <cell r="B411" t="str">
            <v>Boisko</v>
          </cell>
          <cell r="C411" t="str">
            <v>Gra</v>
          </cell>
          <cell r="I411">
            <v>59</v>
          </cell>
          <cell r="N411" t="str">
            <v>rozp.</v>
          </cell>
          <cell r="P411" t="str">
            <v>zak.</v>
          </cell>
          <cell r="R411" t="str">
            <v>S. serw.</v>
          </cell>
        </row>
        <row r="412">
          <cell r="A412">
            <v>59</v>
          </cell>
          <cell r="C412" t="str">
            <v>Open</v>
          </cell>
          <cell r="H412">
            <v>21</v>
          </cell>
          <cell r="I412">
            <v>13</v>
          </cell>
          <cell r="J412">
            <v>21</v>
          </cell>
          <cell r="K412">
            <v>10</v>
          </cell>
          <cell r="R412">
            <v>0</v>
          </cell>
          <cell r="S412" t="str">
            <v>godz.13:40</v>
          </cell>
          <cell r="X412">
            <v>59</v>
          </cell>
          <cell r="Y412" t="str">
            <v>Open</v>
          </cell>
          <cell r="Z412" t="str">
            <v>K0034</v>
          </cell>
          <cell r="AA412" t="str">
            <v/>
          </cell>
          <cell r="AB412" t="str">
            <v>M0019</v>
          </cell>
          <cell r="AC412" t="str">
            <v/>
          </cell>
          <cell r="AD412" t="str">
            <v>K0034</v>
          </cell>
          <cell r="AE412" t="str">
            <v/>
          </cell>
          <cell r="AF412" t="str">
            <v>21:13,21:10</v>
          </cell>
          <cell r="AG412" t="str">
            <v>13:21,10:21</v>
          </cell>
          <cell r="AH412" t="str">
            <v/>
          </cell>
          <cell r="AI412">
            <v>21</v>
          </cell>
          <cell r="AJ412">
            <v>13</v>
          </cell>
          <cell r="AK412">
            <v>21</v>
          </cell>
          <cell r="AL412">
            <v>10</v>
          </cell>
          <cell r="AM412">
            <v>0</v>
          </cell>
          <cell r="AN412">
            <v>0</v>
          </cell>
        </row>
        <row r="413">
          <cell r="A413" t="str">
            <v/>
          </cell>
          <cell r="B413" t="str">
            <v>Marcin KOWALIK (Rzeszów)</v>
          </cell>
          <cell r="H413" t="str">
            <v>K0034</v>
          </cell>
          <cell r="K413" t="str">
            <v>M0019</v>
          </cell>
          <cell r="N413" t="str">
            <v>Grzegorz MAC  (Rzeszów)</v>
          </cell>
        </row>
        <row r="414">
          <cell r="A414" t="str">
            <v/>
          </cell>
          <cell r="B414" t="str">
            <v/>
          </cell>
          <cell r="H414" t="str">
            <v/>
          </cell>
          <cell r="K414" t="str">
            <v/>
          </cell>
          <cell r="N414" t="str">
            <v/>
          </cell>
        </row>
        <row r="416">
          <cell r="B416" t="str">
            <v>zwycięzca(cy): 21:13,21:10</v>
          </cell>
          <cell r="K416" t="str">
            <v/>
          </cell>
        </row>
        <row r="417">
          <cell r="B417">
            <v>60</v>
          </cell>
          <cell r="C417" t="str">
            <v>dzień turnieju.</v>
          </cell>
          <cell r="I417" t="str">
            <v>Nr meczu</v>
          </cell>
          <cell r="N417" t="str">
            <v>Godz.</v>
          </cell>
          <cell r="R417" t="str">
            <v>S. prow.</v>
          </cell>
          <cell r="AF417" t="str">
            <v>wygrany</v>
          </cell>
          <cell r="AG417" t="str">
            <v>przegrany</v>
          </cell>
        </row>
        <row r="418">
          <cell r="B418" t="str">
            <v>Boisko</v>
          </cell>
          <cell r="C418" t="str">
            <v>Gra</v>
          </cell>
          <cell r="I418">
            <v>60</v>
          </cell>
          <cell r="N418" t="str">
            <v>rozp.</v>
          </cell>
          <cell r="P418" t="str">
            <v>zak.</v>
          </cell>
          <cell r="R418" t="str">
            <v>S. serw.</v>
          </cell>
        </row>
        <row r="419">
          <cell r="A419">
            <v>60</v>
          </cell>
          <cell r="C419" t="str">
            <v>Open</v>
          </cell>
          <cell r="H419">
            <v>23</v>
          </cell>
          <cell r="I419">
            <v>21</v>
          </cell>
          <cell r="J419">
            <v>17</v>
          </cell>
          <cell r="K419">
            <v>21</v>
          </cell>
          <cell r="L419">
            <v>21</v>
          </cell>
          <cell r="M419">
            <v>9</v>
          </cell>
          <cell r="R419">
            <v>0</v>
          </cell>
          <cell r="S419" t="str">
            <v>godz.13:40</v>
          </cell>
          <cell r="X419">
            <v>60</v>
          </cell>
          <cell r="Y419" t="str">
            <v>Open</v>
          </cell>
          <cell r="Z419" t="str">
            <v>M0012</v>
          </cell>
          <cell r="AA419" t="str">
            <v/>
          </cell>
          <cell r="AB419" t="str">
            <v>W0010</v>
          </cell>
          <cell r="AC419" t="str">
            <v/>
          </cell>
          <cell r="AD419" t="str">
            <v>M0012</v>
          </cell>
          <cell r="AE419" t="str">
            <v/>
          </cell>
          <cell r="AF419" t="str">
            <v>23:21,17:21,21:9</v>
          </cell>
          <cell r="AG419" t="str">
            <v>21:23,21:17,9:21</v>
          </cell>
          <cell r="AH419" t="str">
            <v/>
          </cell>
          <cell r="AI419">
            <v>23</v>
          </cell>
          <cell r="AJ419">
            <v>21</v>
          </cell>
          <cell r="AK419">
            <v>17</v>
          </cell>
          <cell r="AL419">
            <v>21</v>
          </cell>
          <cell r="AM419">
            <v>21</v>
          </cell>
          <cell r="AN419">
            <v>9</v>
          </cell>
        </row>
        <row r="420">
          <cell r="A420" t="str">
            <v/>
          </cell>
          <cell r="B420" t="str">
            <v>Jarosław MAZUR (Mielec)</v>
          </cell>
          <cell r="H420" t="str">
            <v>M0012</v>
          </cell>
          <cell r="K420" t="str">
            <v>W0010</v>
          </cell>
          <cell r="N420" t="str">
            <v>Dariusz WALAS (Rzeszów)</v>
          </cell>
        </row>
        <row r="421">
          <cell r="A421" t="str">
            <v/>
          </cell>
          <cell r="B421" t="str">
            <v/>
          </cell>
          <cell r="H421" t="str">
            <v/>
          </cell>
          <cell r="K421" t="str">
            <v/>
          </cell>
          <cell r="N421" t="str">
            <v/>
          </cell>
        </row>
        <row r="423">
          <cell r="B423" t="str">
            <v>zwycięzca(cy): 23:21,17:21,21:9</v>
          </cell>
          <cell r="K423" t="str">
            <v/>
          </cell>
        </row>
        <row r="424">
          <cell r="B424">
            <v>61</v>
          </cell>
          <cell r="C424" t="str">
            <v>dzień turnieju.</v>
          </cell>
          <cell r="I424" t="str">
            <v>Nr meczu</v>
          </cell>
          <cell r="N424" t="str">
            <v>Godz.</v>
          </cell>
          <cell r="R424" t="str">
            <v>S. prow.</v>
          </cell>
          <cell r="AF424" t="str">
            <v>wygrany</v>
          </cell>
          <cell r="AG424" t="str">
            <v>przegrany</v>
          </cell>
        </row>
        <row r="425">
          <cell r="B425" t="str">
            <v>Boisko</v>
          </cell>
          <cell r="C425" t="str">
            <v>Gra</v>
          </cell>
          <cell r="I425">
            <v>61</v>
          </cell>
          <cell r="N425" t="str">
            <v>rozp.</v>
          </cell>
          <cell r="P425" t="str">
            <v>zak.</v>
          </cell>
          <cell r="R425" t="str">
            <v>S. serw.</v>
          </cell>
        </row>
        <row r="426">
          <cell r="A426">
            <v>61</v>
          </cell>
          <cell r="C426" t="str">
            <v>Open</v>
          </cell>
          <cell r="H426">
            <v>21</v>
          </cell>
          <cell r="I426">
            <v>16</v>
          </cell>
          <cell r="J426">
            <v>21</v>
          </cell>
          <cell r="K426">
            <v>10</v>
          </cell>
          <cell r="R426">
            <v>0</v>
          </cell>
          <cell r="S426" t="str">
            <v>godz.14:00</v>
          </cell>
          <cell r="X426">
            <v>61</v>
          </cell>
          <cell r="Y426" t="str">
            <v>Open</v>
          </cell>
          <cell r="Z426" t="str">
            <v>P0003</v>
          </cell>
          <cell r="AA426" t="str">
            <v/>
          </cell>
          <cell r="AB426" t="str">
            <v>K0034</v>
          </cell>
          <cell r="AC426" t="str">
            <v/>
          </cell>
          <cell r="AD426" t="str">
            <v>P0003</v>
          </cell>
          <cell r="AE426" t="str">
            <v/>
          </cell>
          <cell r="AF426" t="str">
            <v>21:16,21:10</v>
          </cell>
          <cell r="AG426" t="str">
            <v>16:21,10:21</v>
          </cell>
          <cell r="AH426" t="str">
            <v/>
          </cell>
          <cell r="AI426">
            <v>21</v>
          </cell>
          <cell r="AJ426">
            <v>16</v>
          </cell>
          <cell r="AK426">
            <v>21</v>
          </cell>
          <cell r="AL426">
            <v>10</v>
          </cell>
          <cell r="AM426">
            <v>0</v>
          </cell>
          <cell r="AN426">
            <v>0</v>
          </cell>
        </row>
        <row r="427">
          <cell r="A427" t="str">
            <v/>
          </cell>
          <cell r="B427" t="str">
            <v>Łukasz PIENIĄŻEK (Rzeszów)</v>
          </cell>
          <cell r="H427" t="str">
            <v>P0003</v>
          </cell>
          <cell r="K427" t="str">
            <v>K0034</v>
          </cell>
          <cell r="N427" t="str">
            <v>Marcin KOWALIK (Rzeszów)</v>
          </cell>
        </row>
        <row r="428">
          <cell r="A428" t="str">
            <v/>
          </cell>
          <cell r="B428" t="str">
            <v/>
          </cell>
          <cell r="H428" t="str">
            <v/>
          </cell>
          <cell r="K428" t="str">
            <v/>
          </cell>
          <cell r="N428" t="str">
            <v/>
          </cell>
        </row>
        <row r="430">
          <cell r="B430" t="str">
            <v>zwycięzca(cy): 21:16,21:10</v>
          </cell>
          <cell r="K430" t="str">
            <v/>
          </cell>
        </row>
        <row r="431">
          <cell r="B431">
            <v>62</v>
          </cell>
          <cell r="C431" t="str">
            <v>dzień turnieju.</v>
          </cell>
          <cell r="I431" t="str">
            <v>Nr meczu</v>
          </cell>
          <cell r="N431" t="str">
            <v>Godz.</v>
          </cell>
          <cell r="R431" t="str">
            <v>S. prow.</v>
          </cell>
          <cell r="AF431" t="str">
            <v>wygrany</v>
          </cell>
          <cell r="AG431" t="str">
            <v>przegrany</v>
          </cell>
        </row>
        <row r="432">
          <cell r="B432" t="str">
            <v>Boisko</v>
          </cell>
          <cell r="C432" t="str">
            <v>Gra</v>
          </cell>
          <cell r="I432">
            <v>62</v>
          </cell>
          <cell r="N432" t="str">
            <v>rozp.</v>
          </cell>
          <cell r="P432" t="str">
            <v>zak.</v>
          </cell>
          <cell r="R432" t="str">
            <v>S. serw.</v>
          </cell>
        </row>
        <row r="433">
          <cell r="A433">
            <v>62</v>
          </cell>
          <cell r="C433" t="str">
            <v>Open</v>
          </cell>
          <cell r="H433">
            <v>21</v>
          </cell>
          <cell r="I433">
            <v>0</v>
          </cell>
          <cell r="J433">
            <v>21</v>
          </cell>
          <cell r="K433">
            <v>0</v>
          </cell>
          <cell r="R433">
            <v>0</v>
          </cell>
          <cell r="S433" t="str">
            <v>godz.14:00</v>
          </cell>
          <cell r="X433">
            <v>62</v>
          </cell>
          <cell r="Y433" t="str">
            <v>Open</v>
          </cell>
          <cell r="Z433" t="str">
            <v>M0012</v>
          </cell>
          <cell r="AA433" t="str">
            <v/>
          </cell>
          <cell r="AB433" t="str">
            <v>G0002</v>
          </cell>
          <cell r="AC433" t="str">
            <v/>
          </cell>
          <cell r="AD433" t="str">
            <v>M0012</v>
          </cell>
          <cell r="AE433" t="str">
            <v/>
          </cell>
          <cell r="AF433" t="str">
            <v>21:0,21:0</v>
          </cell>
          <cell r="AG433" t="str">
            <v>0:21,0:21</v>
          </cell>
          <cell r="AH433" t="str">
            <v/>
          </cell>
          <cell r="AI433">
            <v>21</v>
          </cell>
          <cell r="AJ433">
            <v>0</v>
          </cell>
          <cell r="AK433">
            <v>21</v>
          </cell>
          <cell r="AL433">
            <v>0</v>
          </cell>
          <cell r="AM433">
            <v>0</v>
          </cell>
          <cell r="AN433">
            <v>0</v>
          </cell>
        </row>
        <row r="434">
          <cell r="A434" t="str">
            <v/>
          </cell>
          <cell r="B434" t="str">
            <v>Jarosław MAZUR (Mielec)</v>
          </cell>
          <cell r="H434" t="str">
            <v>M0012</v>
          </cell>
          <cell r="K434" t="str">
            <v>G0002</v>
          </cell>
          <cell r="N434" t="str">
            <v>Jarosław GÓRSKI (Gorlice)</v>
          </cell>
        </row>
        <row r="435">
          <cell r="A435" t="str">
            <v/>
          </cell>
          <cell r="B435" t="str">
            <v/>
          </cell>
          <cell r="H435" t="str">
            <v/>
          </cell>
          <cell r="K435" t="str">
            <v/>
          </cell>
          <cell r="N435" t="str">
            <v/>
          </cell>
        </row>
        <row r="437">
          <cell r="B437" t="str">
            <v>zwycięzca(cy): 21:0,21:0</v>
          </cell>
          <cell r="K437" t="str">
            <v/>
          </cell>
        </row>
        <row r="438">
          <cell r="B438">
            <v>63</v>
          </cell>
          <cell r="C438" t="str">
            <v>dzień turnieju.</v>
          </cell>
          <cell r="I438" t="str">
            <v>Nr meczu</v>
          </cell>
          <cell r="N438" t="str">
            <v>Godz.</v>
          </cell>
          <cell r="R438" t="str">
            <v>S. prow.</v>
          </cell>
          <cell r="AF438" t="str">
            <v>wygrany</v>
          </cell>
          <cell r="AG438" t="str">
            <v>przegrany</v>
          </cell>
        </row>
        <row r="439">
          <cell r="B439" t="str">
            <v>Boisko</v>
          </cell>
          <cell r="C439" t="str">
            <v>Gra</v>
          </cell>
          <cell r="I439">
            <v>63</v>
          </cell>
          <cell r="N439" t="str">
            <v>rozp.</v>
          </cell>
          <cell r="P439" t="str">
            <v>zak.</v>
          </cell>
          <cell r="R439" t="str">
            <v>S. serw.</v>
          </cell>
        </row>
        <row r="440">
          <cell r="A440">
            <v>63</v>
          </cell>
          <cell r="C440" t="str">
            <v>Open</v>
          </cell>
          <cell r="H440">
            <v>21</v>
          </cell>
          <cell r="I440">
            <v>0</v>
          </cell>
          <cell r="J440">
            <v>21</v>
          </cell>
          <cell r="K440">
            <v>0</v>
          </cell>
          <cell r="R440">
            <v>0</v>
          </cell>
          <cell r="S440" t="str">
            <v>godz.14:00</v>
          </cell>
          <cell r="X440">
            <v>63</v>
          </cell>
          <cell r="Y440" t="str">
            <v>Open</v>
          </cell>
          <cell r="Z440" t="str">
            <v>K0034</v>
          </cell>
          <cell r="AA440" t="str">
            <v/>
          </cell>
          <cell r="AB440" t="str">
            <v>G0002</v>
          </cell>
          <cell r="AC440" t="str">
            <v/>
          </cell>
          <cell r="AD440" t="str">
            <v>K0034</v>
          </cell>
          <cell r="AE440" t="str">
            <v/>
          </cell>
          <cell r="AF440" t="str">
            <v>21:0,21:0</v>
          </cell>
          <cell r="AG440" t="str">
            <v>0:21,0:21</v>
          </cell>
          <cell r="AH440" t="str">
            <v/>
          </cell>
          <cell r="AI440">
            <v>21</v>
          </cell>
          <cell r="AJ440">
            <v>0</v>
          </cell>
          <cell r="AK440">
            <v>21</v>
          </cell>
          <cell r="AL440">
            <v>0</v>
          </cell>
          <cell r="AM440">
            <v>0</v>
          </cell>
          <cell r="AN440">
            <v>0</v>
          </cell>
        </row>
        <row r="441">
          <cell r="A441" t="str">
            <v/>
          </cell>
          <cell r="B441" t="str">
            <v>Marcin KOWALIK (Rzeszów)</v>
          </cell>
          <cell r="H441" t="str">
            <v>K0034</v>
          </cell>
          <cell r="K441" t="str">
            <v>G0002</v>
          </cell>
          <cell r="N441" t="str">
            <v>Jarosław GÓRSKI (Gorlice)</v>
          </cell>
        </row>
        <row r="442">
          <cell r="A442" t="str">
            <v/>
          </cell>
          <cell r="B442" t="str">
            <v/>
          </cell>
          <cell r="H442" t="str">
            <v/>
          </cell>
          <cell r="K442" t="str">
            <v/>
          </cell>
          <cell r="N442" t="str">
            <v/>
          </cell>
        </row>
        <row r="444">
          <cell r="B444" t="str">
            <v>zwycięzca(cy): 21:0,21:0</v>
          </cell>
          <cell r="K444" t="str">
            <v/>
          </cell>
        </row>
        <row r="445">
          <cell r="B445">
            <v>64</v>
          </cell>
          <cell r="C445" t="str">
            <v>dzień turnieju.</v>
          </cell>
          <cell r="I445" t="str">
            <v>Nr meczu</v>
          </cell>
          <cell r="N445" t="str">
            <v>Godz.</v>
          </cell>
          <cell r="R445" t="str">
            <v>S. prow.</v>
          </cell>
          <cell r="AF445" t="str">
            <v>wygrany</v>
          </cell>
          <cell r="AG445" t="str">
            <v>przegrany</v>
          </cell>
        </row>
        <row r="446">
          <cell r="B446" t="str">
            <v>Boisko</v>
          </cell>
          <cell r="C446" t="str">
            <v>Gra</v>
          </cell>
          <cell r="I446">
            <v>64</v>
          </cell>
          <cell r="N446" t="str">
            <v>rozp.</v>
          </cell>
          <cell r="P446" t="str">
            <v>zak.</v>
          </cell>
          <cell r="R446" t="str">
            <v>S. serw.</v>
          </cell>
        </row>
        <row r="447">
          <cell r="A447">
            <v>64</v>
          </cell>
          <cell r="C447" t="str">
            <v>Open</v>
          </cell>
          <cell r="H447">
            <v>21</v>
          </cell>
          <cell r="I447">
            <v>18</v>
          </cell>
          <cell r="J447">
            <v>21</v>
          </cell>
          <cell r="K447">
            <v>9</v>
          </cell>
          <cell r="R447">
            <v>0</v>
          </cell>
          <cell r="S447" t="str">
            <v>godz.14:00</v>
          </cell>
          <cell r="X447">
            <v>64</v>
          </cell>
          <cell r="Y447" t="str">
            <v>Open</v>
          </cell>
          <cell r="Z447" t="str">
            <v>P0003</v>
          </cell>
          <cell r="AA447" t="str">
            <v/>
          </cell>
          <cell r="AB447" t="str">
            <v>M0012</v>
          </cell>
          <cell r="AC447" t="str">
            <v/>
          </cell>
          <cell r="AD447" t="str">
            <v>P0003</v>
          </cell>
          <cell r="AE447" t="str">
            <v/>
          </cell>
          <cell r="AF447" t="str">
            <v>21:18,21:9</v>
          </cell>
          <cell r="AG447" t="str">
            <v>18:21,9:21</v>
          </cell>
          <cell r="AH447" t="str">
            <v/>
          </cell>
          <cell r="AI447">
            <v>21</v>
          </cell>
          <cell r="AJ447">
            <v>18</v>
          </cell>
          <cell r="AK447">
            <v>21</v>
          </cell>
          <cell r="AL447">
            <v>9</v>
          </cell>
          <cell r="AM447">
            <v>0</v>
          </cell>
          <cell r="AN447">
            <v>0</v>
          </cell>
        </row>
        <row r="448">
          <cell r="A448" t="str">
            <v/>
          </cell>
          <cell r="B448" t="str">
            <v>Łukasz PIENIĄŻEK (Rzeszów)</v>
          </cell>
          <cell r="H448" t="str">
            <v>P0003</v>
          </cell>
          <cell r="K448" t="str">
            <v>M0012</v>
          </cell>
          <cell r="N448" t="str">
            <v>Jarosław MAZUR (Mielec)</v>
          </cell>
        </row>
        <row r="449">
          <cell r="A449" t="str">
            <v/>
          </cell>
          <cell r="B449" t="str">
            <v/>
          </cell>
          <cell r="H449" t="str">
            <v/>
          </cell>
          <cell r="K449" t="str">
            <v/>
          </cell>
          <cell r="N449" t="str">
            <v/>
          </cell>
        </row>
        <row r="451">
          <cell r="B451" t="str">
            <v>zwycięzca(cy): 21:18,21:9</v>
          </cell>
          <cell r="K451" t="str">
            <v/>
          </cell>
        </row>
        <row r="452">
          <cell r="B452">
            <v>65</v>
          </cell>
          <cell r="C452" t="str">
            <v>dzień turnieju.</v>
          </cell>
          <cell r="I452" t="str">
            <v>Nr meczu</v>
          </cell>
          <cell r="N452" t="str">
            <v>Godz.</v>
          </cell>
          <cell r="R452" t="str">
            <v>S. prow.</v>
          </cell>
          <cell r="AF452" t="str">
            <v>wygrany</v>
          </cell>
          <cell r="AG452" t="str">
            <v>przegrany</v>
          </cell>
        </row>
        <row r="453">
          <cell r="B453" t="str">
            <v>Boisko</v>
          </cell>
          <cell r="C453" t="str">
            <v>Gra</v>
          </cell>
          <cell r="I453">
            <v>65</v>
          </cell>
          <cell r="N453" t="str">
            <v>rozp.</v>
          </cell>
          <cell r="P453" t="str">
            <v>zak.</v>
          </cell>
          <cell r="R453" t="str">
            <v>S. serw.</v>
          </cell>
        </row>
        <row r="454">
          <cell r="A454">
            <v>65</v>
          </cell>
          <cell r="C454" t="str">
            <v>Kobiet</v>
          </cell>
          <cell r="H454">
            <v>21</v>
          </cell>
          <cell r="I454">
            <v>23</v>
          </cell>
          <cell r="J454">
            <v>14</v>
          </cell>
          <cell r="K454">
            <v>21</v>
          </cell>
          <cell r="R454">
            <v>0</v>
          </cell>
          <cell r="S454" t="str">
            <v>godz.14:20</v>
          </cell>
          <cell r="X454">
            <v>65</v>
          </cell>
          <cell r="Y454" t="str">
            <v>Kobiet</v>
          </cell>
          <cell r="Z454" t="str">
            <v>D0007</v>
          </cell>
          <cell r="AA454" t="str">
            <v/>
          </cell>
          <cell r="AB454" t="str">
            <v>K0031</v>
          </cell>
          <cell r="AC454" t="str">
            <v/>
          </cell>
          <cell r="AD454" t="str">
            <v>K0031</v>
          </cell>
          <cell r="AE454" t="str">
            <v/>
          </cell>
          <cell r="AF454" t="str">
            <v>23:21,21:14</v>
          </cell>
          <cell r="AG454" t="str">
            <v>21:23,14:21</v>
          </cell>
          <cell r="AH454" t="str">
            <v/>
          </cell>
          <cell r="AI454">
            <v>21</v>
          </cell>
          <cell r="AJ454">
            <v>23</v>
          </cell>
          <cell r="AK454">
            <v>14</v>
          </cell>
          <cell r="AL454">
            <v>21</v>
          </cell>
          <cell r="AM454">
            <v>0</v>
          </cell>
          <cell r="AN454">
            <v>0</v>
          </cell>
        </row>
        <row r="455">
          <cell r="A455" t="str">
            <v/>
          </cell>
          <cell r="B455" t="str">
            <v>Karolina DZIEKAN (Mielec)</v>
          </cell>
          <cell r="H455" t="str">
            <v>D0007</v>
          </cell>
          <cell r="K455" t="str">
            <v>K0031</v>
          </cell>
          <cell r="N455" t="str">
            <v>Wiktoria KAPINOS (Mielec)</v>
          </cell>
        </row>
        <row r="456">
          <cell r="A456" t="str">
            <v/>
          </cell>
          <cell r="B456" t="str">
            <v/>
          </cell>
          <cell r="H456" t="str">
            <v/>
          </cell>
          <cell r="K456" t="str">
            <v/>
          </cell>
          <cell r="N456" t="str">
            <v/>
          </cell>
        </row>
        <row r="458">
          <cell r="B458" t="str">
            <v/>
          </cell>
          <cell r="K458" t="str">
            <v>zwycięzca(cy): 23:21,21:14</v>
          </cell>
        </row>
        <row r="459">
          <cell r="B459">
            <v>66</v>
          </cell>
          <cell r="C459" t="str">
            <v>dzień turnieju.</v>
          </cell>
          <cell r="I459" t="str">
            <v>Nr meczu</v>
          </cell>
          <cell r="N459" t="str">
            <v>Godz.</v>
          </cell>
          <cell r="R459" t="str">
            <v>S. prow.</v>
          </cell>
          <cell r="AF459" t="str">
            <v>wygrany</v>
          </cell>
          <cell r="AG459" t="str">
            <v>przegrany</v>
          </cell>
        </row>
        <row r="460">
          <cell r="B460" t="str">
            <v>Boisko</v>
          </cell>
          <cell r="C460" t="str">
            <v>Gra</v>
          </cell>
          <cell r="I460">
            <v>66</v>
          </cell>
          <cell r="N460" t="str">
            <v>rozp.</v>
          </cell>
          <cell r="P460" t="str">
            <v>zak.</v>
          </cell>
          <cell r="R460" t="str">
            <v>S. serw.</v>
          </cell>
        </row>
        <row r="461">
          <cell r="A461">
            <v>66</v>
          </cell>
          <cell r="C461" t="str">
            <v/>
          </cell>
          <cell r="H461">
            <v>21</v>
          </cell>
          <cell r="I461">
            <v>8</v>
          </cell>
          <cell r="J461">
            <v>21</v>
          </cell>
          <cell r="K461">
            <v>8</v>
          </cell>
          <cell r="R461">
            <v>0</v>
          </cell>
          <cell r="S461" t="str">
            <v>godz.14:20</v>
          </cell>
          <cell r="X461">
            <v>66</v>
          </cell>
          <cell r="Y461" t="str">
            <v/>
          </cell>
          <cell r="Z461" t="str">
            <v>B0009</v>
          </cell>
          <cell r="AA461" t="str">
            <v>R0003</v>
          </cell>
          <cell r="AB461" t="str">
            <v>D0007</v>
          </cell>
          <cell r="AC461" t="str">
            <v>K0031</v>
          </cell>
          <cell r="AD461" t="str">
            <v>B0009</v>
          </cell>
          <cell r="AE461" t="str">
            <v>R0003</v>
          </cell>
          <cell r="AF461" t="str">
            <v>21:8,21:8</v>
          </cell>
          <cell r="AG461" t="str">
            <v>8:21,8:21</v>
          </cell>
          <cell r="AH461" t="str">
            <v/>
          </cell>
          <cell r="AI461">
            <v>21</v>
          </cell>
          <cell r="AJ461">
            <v>8</v>
          </cell>
          <cell r="AK461">
            <v>21</v>
          </cell>
          <cell r="AL461">
            <v>8</v>
          </cell>
          <cell r="AM461">
            <v>0</v>
          </cell>
          <cell r="AN461">
            <v>0</v>
          </cell>
        </row>
        <row r="462">
          <cell r="A462" t="str">
            <v/>
          </cell>
          <cell r="B462" t="str">
            <v>Adam BUNIO (Nowa Dęba)</v>
          </cell>
          <cell r="H462" t="str">
            <v>B0009</v>
          </cell>
          <cell r="K462" t="str">
            <v>D0007</v>
          </cell>
          <cell r="N462" t="str">
            <v>Karolina DZIEKAN (Mielec)</v>
          </cell>
        </row>
        <row r="463">
          <cell r="A463" t="str">
            <v/>
          </cell>
          <cell r="B463" t="str">
            <v>Dawid RZĄSA (Nowa Dęba)</v>
          </cell>
          <cell r="H463" t="str">
            <v>R0003</v>
          </cell>
          <cell r="K463" t="str">
            <v>K0031</v>
          </cell>
          <cell r="N463" t="str">
            <v>Wiktoria KAPINOS (Mielec)</v>
          </cell>
        </row>
        <row r="465">
          <cell r="B465" t="str">
            <v>zwycięzca(cy): 21:8,21:8</v>
          </cell>
          <cell r="K465" t="str">
            <v/>
          </cell>
        </row>
        <row r="466">
          <cell r="B466">
            <v>67</v>
          </cell>
          <cell r="C466" t="str">
            <v>dzień turnieju.</v>
          </cell>
          <cell r="I466" t="str">
            <v>Nr meczu</v>
          </cell>
          <cell r="N466" t="str">
            <v>Godz.</v>
          </cell>
          <cell r="R466" t="str">
            <v>S. prow.</v>
          </cell>
          <cell r="AF466" t="str">
            <v>wygrany</v>
          </cell>
          <cell r="AG466" t="str">
            <v>przegrany</v>
          </cell>
        </row>
        <row r="467">
          <cell r="B467" t="str">
            <v>Boisko</v>
          </cell>
          <cell r="C467" t="str">
            <v>Gra</v>
          </cell>
          <cell r="I467">
            <v>67</v>
          </cell>
          <cell r="N467" t="str">
            <v>rozp.</v>
          </cell>
          <cell r="P467" t="str">
            <v>zak.</v>
          </cell>
          <cell r="R467" t="str">
            <v>S. serw.</v>
          </cell>
        </row>
        <row r="468">
          <cell r="A468">
            <v>67</v>
          </cell>
          <cell r="C468" t="str">
            <v/>
          </cell>
          <cell r="H468">
            <v>21</v>
          </cell>
          <cell r="I468">
            <v>16</v>
          </cell>
          <cell r="J468">
            <v>18</v>
          </cell>
          <cell r="K468">
            <v>21</v>
          </cell>
          <cell r="L468">
            <v>21</v>
          </cell>
          <cell r="M468">
            <v>19</v>
          </cell>
          <cell r="R468">
            <v>0</v>
          </cell>
          <cell r="S468" t="str">
            <v>godz.14:20</v>
          </cell>
          <cell r="X468">
            <v>67</v>
          </cell>
          <cell r="Y468" t="str">
            <v/>
          </cell>
          <cell r="Z468" t="str">
            <v>K0034</v>
          </cell>
          <cell r="AA468" t="str">
            <v>W0010</v>
          </cell>
          <cell r="AB468" t="str">
            <v>G0011</v>
          </cell>
          <cell r="AC468" t="str">
            <v>M0012</v>
          </cell>
          <cell r="AD468" t="str">
            <v>K0034</v>
          </cell>
          <cell r="AE468" t="str">
            <v>W0010</v>
          </cell>
          <cell r="AF468" t="str">
            <v>21:16,18:21,21:19</v>
          </cell>
          <cell r="AG468" t="str">
            <v>16:21,21:18,19:21</v>
          </cell>
          <cell r="AH468" t="str">
            <v/>
          </cell>
          <cell r="AI468">
            <v>21</v>
          </cell>
          <cell r="AJ468">
            <v>16</v>
          </cell>
          <cell r="AK468">
            <v>18</v>
          </cell>
          <cell r="AL468">
            <v>21</v>
          </cell>
          <cell r="AM468">
            <v>21</v>
          </cell>
          <cell r="AN468">
            <v>19</v>
          </cell>
        </row>
        <row r="469">
          <cell r="A469" t="str">
            <v/>
          </cell>
          <cell r="B469" t="str">
            <v>Marcin KOWALIK (Rzeszów)</v>
          </cell>
          <cell r="H469" t="str">
            <v>K0034</v>
          </cell>
          <cell r="K469" t="str">
            <v>G0011</v>
          </cell>
          <cell r="N469" t="str">
            <v>Jakub GERCZAK (Rzeszów)</v>
          </cell>
        </row>
        <row r="470">
          <cell r="A470" t="str">
            <v/>
          </cell>
          <cell r="B470" t="str">
            <v>Dariusz WALAS (Rzeszów)</v>
          </cell>
          <cell r="H470" t="str">
            <v>W0010</v>
          </cell>
          <cell r="K470" t="str">
            <v>M0012</v>
          </cell>
          <cell r="N470" t="str">
            <v>Jarosław MAZUR (Mielec)</v>
          </cell>
        </row>
        <row r="472">
          <cell r="B472" t="str">
            <v>zwycięzca(cy): 21:16,18:21,21:19</v>
          </cell>
          <cell r="K472" t="str">
            <v/>
          </cell>
        </row>
        <row r="473">
          <cell r="B473">
            <v>68</v>
          </cell>
          <cell r="C473" t="str">
            <v>dzień turnieju.</v>
          </cell>
          <cell r="I473" t="str">
            <v>Nr meczu</v>
          </cell>
          <cell r="N473" t="str">
            <v>Godz.</v>
          </cell>
          <cell r="R473" t="str">
            <v>S. prow.</v>
          </cell>
          <cell r="AF473" t="str">
            <v>wygrany</v>
          </cell>
          <cell r="AG473" t="str">
            <v>przegrany</v>
          </cell>
        </row>
        <row r="474">
          <cell r="B474" t="str">
            <v>Boisko</v>
          </cell>
          <cell r="C474" t="str">
            <v>Gra</v>
          </cell>
          <cell r="I474">
            <v>68</v>
          </cell>
          <cell r="N474" t="str">
            <v>rozp.</v>
          </cell>
          <cell r="P474" t="str">
            <v>zak.</v>
          </cell>
          <cell r="R474" t="str">
            <v>S. serw.</v>
          </cell>
        </row>
        <row r="475">
          <cell r="A475">
            <v>68</v>
          </cell>
          <cell r="C475" t="str">
            <v/>
          </cell>
          <cell r="H475">
            <v>9</v>
          </cell>
          <cell r="I475">
            <v>21</v>
          </cell>
          <cell r="J475">
            <v>9</v>
          </cell>
          <cell r="K475">
            <v>21</v>
          </cell>
          <cell r="R475">
            <v>0</v>
          </cell>
          <cell r="S475" t="str">
            <v>godz.14:20</v>
          </cell>
          <cell r="X475">
            <v>68</v>
          </cell>
          <cell r="Y475" t="str">
            <v/>
          </cell>
          <cell r="Z475" t="str">
            <v>P0019</v>
          </cell>
          <cell r="AA475" t="str">
            <v>W0009</v>
          </cell>
          <cell r="AB475" t="str">
            <v>K0029</v>
          </cell>
          <cell r="AC475" t="str">
            <v>R0008</v>
          </cell>
          <cell r="AD475" t="str">
            <v>K0029</v>
          </cell>
          <cell r="AE475" t="str">
            <v>R0008</v>
          </cell>
          <cell r="AF475" t="str">
            <v>21:9,21:9</v>
          </cell>
          <cell r="AG475" t="str">
            <v>9:21,9:21</v>
          </cell>
          <cell r="AH475" t="str">
            <v/>
          </cell>
          <cell r="AI475">
            <v>9</v>
          </cell>
          <cell r="AJ475">
            <v>21</v>
          </cell>
          <cell r="AK475">
            <v>9</v>
          </cell>
          <cell r="AL475">
            <v>21</v>
          </cell>
          <cell r="AM475">
            <v>0</v>
          </cell>
          <cell r="AN475">
            <v>0</v>
          </cell>
        </row>
        <row r="476">
          <cell r="A476" t="str">
            <v/>
          </cell>
          <cell r="B476" t="str">
            <v>Patryk PIETRAS (Mielec)</v>
          </cell>
          <cell r="H476" t="str">
            <v>P0019</v>
          </cell>
          <cell r="K476" t="str">
            <v>K0029</v>
          </cell>
          <cell r="N476" t="str">
            <v>Patryk KOPEĆ (Nowa Dęba)</v>
          </cell>
        </row>
        <row r="477">
          <cell r="A477" t="str">
            <v/>
          </cell>
          <cell r="B477" t="str">
            <v>Karol WESOŁOWSKI (Mielec)</v>
          </cell>
          <cell r="H477" t="str">
            <v>W0009</v>
          </cell>
          <cell r="K477" t="str">
            <v>R0008</v>
          </cell>
          <cell r="N477" t="str">
            <v>Dawid RZESZUTEK (Mielec)</v>
          </cell>
        </row>
        <row r="479">
          <cell r="B479" t="str">
            <v/>
          </cell>
          <cell r="K479" t="str">
            <v>zwycięzca(cy): 21:9,21:9</v>
          </cell>
        </row>
        <row r="480">
          <cell r="B480">
            <v>69</v>
          </cell>
          <cell r="C480" t="str">
            <v>dzień turnieju.</v>
          </cell>
          <cell r="I480" t="str">
            <v>Nr meczu</v>
          </cell>
          <cell r="N480" t="str">
            <v>Godz.</v>
          </cell>
          <cell r="R480" t="str">
            <v>S. prow.</v>
          </cell>
          <cell r="AF480" t="str">
            <v>wygrany</v>
          </cell>
          <cell r="AG480" t="str">
            <v>przegrany</v>
          </cell>
        </row>
        <row r="481">
          <cell r="B481" t="str">
            <v>Boisko</v>
          </cell>
          <cell r="C481" t="str">
            <v>Gra</v>
          </cell>
          <cell r="I481">
            <v>69</v>
          </cell>
          <cell r="N481" t="str">
            <v>rozp.</v>
          </cell>
          <cell r="P481" t="str">
            <v>zak.</v>
          </cell>
          <cell r="R481" t="str">
            <v>S. serw.</v>
          </cell>
        </row>
        <row r="482">
          <cell r="A482">
            <v>69</v>
          </cell>
          <cell r="C482" t="str">
            <v/>
          </cell>
          <cell r="H482">
            <v>17</v>
          </cell>
          <cell r="I482">
            <v>21</v>
          </cell>
          <cell r="J482">
            <v>18</v>
          </cell>
          <cell r="K482">
            <v>21</v>
          </cell>
          <cell r="R482">
            <v>0</v>
          </cell>
          <cell r="S482" t="str">
            <v>godz.14:40</v>
          </cell>
          <cell r="X482">
            <v>69</v>
          </cell>
          <cell r="Y482" t="str">
            <v/>
          </cell>
          <cell r="Z482" t="str">
            <v>K0033</v>
          </cell>
          <cell r="AA482" t="str">
            <v>Ś0002</v>
          </cell>
          <cell r="AB482" t="str">
            <v>M0019</v>
          </cell>
          <cell r="AC482" t="str">
            <v>P0003</v>
          </cell>
          <cell r="AD482" t="str">
            <v>M0019</v>
          </cell>
          <cell r="AE482" t="str">
            <v>P0003</v>
          </cell>
          <cell r="AF482" t="str">
            <v>21:17,21:18</v>
          </cell>
          <cell r="AG482" t="str">
            <v>17:21,18:21</v>
          </cell>
          <cell r="AH482" t="str">
            <v/>
          </cell>
          <cell r="AI482">
            <v>17</v>
          </cell>
          <cell r="AJ482">
            <v>21</v>
          </cell>
          <cell r="AK482">
            <v>18</v>
          </cell>
          <cell r="AL482">
            <v>21</v>
          </cell>
          <cell r="AM482">
            <v>0</v>
          </cell>
          <cell r="AN482">
            <v>0</v>
          </cell>
        </row>
        <row r="483">
          <cell r="A483" t="str">
            <v/>
          </cell>
          <cell r="B483" t="str">
            <v>Marek KAMIŃSKI (Nowa Dęba)</v>
          </cell>
          <cell r="H483" t="str">
            <v>K0033</v>
          </cell>
          <cell r="K483" t="str">
            <v>M0019</v>
          </cell>
          <cell r="N483" t="str">
            <v>Grzegorz MAC  (Rzeszów)</v>
          </cell>
        </row>
        <row r="484">
          <cell r="A484" t="str">
            <v/>
          </cell>
          <cell r="B484" t="str">
            <v>Ernest ŚCIPIEŃ (Nowa Dęba)</v>
          </cell>
          <cell r="H484" t="str">
            <v>Ś0002</v>
          </cell>
          <cell r="K484" t="str">
            <v>P0003</v>
          </cell>
          <cell r="N484" t="str">
            <v>Łukasz PIENIĄŻEK (Rzeszów)</v>
          </cell>
        </row>
        <row r="486">
          <cell r="B486" t="str">
            <v/>
          </cell>
          <cell r="K486" t="str">
            <v>zwycięzca(cy): 21:17,21:18</v>
          </cell>
        </row>
        <row r="487">
          <cell r="B487">
            <v>70</v>
          </cell>
          <cell r="C487" t="str">
            <v>dzień turnieju.</v>
          </cell>
          <cell r="I487" t="str">
            <v>Nr meczu</v>
          </cell>
          <cell r="N487" t="str">
            <v>Godz.</v>
          </cell>
          <cell r="R487" t="str">
            <v>S. prow.</v>
          </cell>
          <cell r="AF487" t="str">
            <v>wygrany</v>
          </cell>
          <cell r="AG487" t="str">
            <v>przegrany</v>
          </cell>
        </row>
        <row r="488">
          <cell r="B488" t="str">
            <v>Boisko</v>
          </cell>
          <cell r="C488" t="str">
            <v>Gra</v>
          </cell>
          <cell r="I488">
            <v>70</v>
          </cell>
          <cell r="N488" t="str">
            <v>rozp.</v>
          </cell>
          <cell r="P488" t="str">
            <v>zak.</v>
          </cell>
          <cell r="R488" t="str">
            <v>S. serw.</v>
          </cell>
        </row>
        <row r="489">
          <cell r="A489">
            <v>70</v>
          </cell>
          <cell r="C489" t="str">
            <v/>
          </cell>
          <cell r="H489">
            <v>21</v>
          </cell>
          <cell r="I489">
            <v>9</v>
          </cell>
          <cell r="J489">
            <v>21</v>
          </cell>
          <cell r="K489">
            <v>14</v>
          </cell>
          <cell r="R489">
            <v>0</v>
          </cell>
          <cell r="S489" t="str">
            <v>godz.14:40</v>
          </cell>
          <cell r="X489">
            <v>70</v>
          </cell>
          <cell r="Y489" t="str">
            <v/>
          </cell>
          <cell r="Z489" t="str">
            <v>B0009</v>
          </cell>
          <cell r="AA489" t="str">
            <v>R0003</v>
          </cell>
          <cell r="AB489" t="str">
            <v>K0034</v>
          </cell>
          <cell r="AC489" t="str">
            <v>W0010</v>
          </cell>
          <cell r="AD489" t="str">
            <v>B0009</v>
          </cell>
          <cell r="AE489" t="str">
            <v>R0003</v>
          </cell>
          <cell r="AF489" t="str">
            <v>21:9,21:14</v>
          </cell>
          <cell r="AG489" t="str">
            <v>9:21,14:21</v>
          </cell>
          <cell r="AH489" t="str">
            <v/>
          </cell>
          <cell r="AI489">
            <v>21</v>
          </cell>
          <cell r="AJ489">
            <v>9</v>
          </cell>
          <cell r="AK489">
            <v>21</v>
          </cell>
          <cell r="AL489">
            <v>14</v>
          </cell>
          <cell r="AM489">
            <v>0</v>
          </cell>
          <cell r="AN489">
            <v>0</v>
          </cell>
        </row>
        <row r="490">
          <cell r="A490" t="str">
            <v/>
          </cell>
          <cell r="B490" t="str">
            <v>Adam BUNIO (Nowa Dęba)</v>
          </cell>
          <cell r="H490" t="str">
            <v>B0009</v>
          </cell>
          <cell r="K490" t="str">
            <v>K0034</v>
          </cell>
          <cell r="N490" t="str">
            <v>Marcin KOWALIK (Rzeszów)</v>
          </cell>
        </row>
        <row r="491">
          <cell r="A491" t="str">
            <v/>
          </cell>
          <cell r="B491" t="str">
            <v>Dawid RZĄSA (Nowa Dęba)</v>
          </cell>
          <cell r="H491" t="str">
            <v>R0003</v>
          </cell>
          <cell r="K491" t="str">
            <v>W0010</v>
          </cell>
          <cell r="N491" t="str">
            <v>Dariusz WALAS (Rzeszów)</v>
          </cell>
        </row>
        <row r="493">
          <cell r="B493" t="str">
            <v>zwycięzca(cy): 21:9,21:14</v>
          </cell>
          <cell r="K493" t="str">
            <v/>
          </cell>
        </row>
        <row r="494">
          <cell r="B494">
            <v>71</v>
          </cell>
          <cell r="C494" t="str">
            <v>dzień turnieju.</v>
          </cell>
          <cell r="I494" t="str">
            <v>Nr meczu</v>
          </cell>
          <cell r="N494" t="str">
            <v>Godz.</v>
          </cell>
          <cell r="R494" t="str">
            <v>S. prow.</v>
          </cell>
          <cell r="AF494" t="str">
            <v>wygrany</v>
          </cell>
          <cell r="AG494" t="str">
            <v>przegrany</v>
          </cell>
        </row>
        <row r="495">
          <cell r="B495" t="str">
            <v>Boisko</v>
          </cell>
          <cell r="C495" t="str">
            <v>Gra</v>
          </cell>
          <cell r="I495">
            <v>71</v>
          </cell>
          <cell r="N495" t="str">
            <v>rozp.</v>
          </cell>
          <cell r="P495" t="str">
            <v>zak.</v>
          </cell>
          <cell r="R495" t="str">
            <v>S. serw.</v>
          </cell>
        </row>
        <row r="496">
          <cell r="A496">
            <v>71</v>
          </cell>
          <cell r="C496" t="str">
            <v/>
          </cell>
          <cell r="H496">
            <v>21</v>
          </cell>
          <cell r="I496">
            <v>15</v>
          </cell>
          <cell r="J496">
            <v>16</v>
          </cell>
          <cell r="K496">
            <v>21</v>
          </cell>
          <cell r="L496">
            <v>12</v>
          </cell>
          <cell r="M496">
            <v>21</v>
          </cell>
          <cell r="R496">
            <v>0</v>
          </cell>
          <cell r="S496" t="str">
            <v>godz.14:40</v>
          </cell>
          <cell r="X496">
            <v>71</v>
          </cell>
          <cell r="Y496" t="str">
            <v/>
          </cell>
          <cell r="Z496" t="str">
            <v>K0029</v>
          </cell>
          <cell r="AA496" t="str">
            <v>R0008</v>
          </cell>
          <cell r="AB496" t="str">
            <v>M0019</v>
          </cell>
          <cell r="AC496" t="str">
            <v>P0003</v>
          </cell>
          <cell r="AD496" t="str">
            <v>M0019</v>
          </cell>
          <cell r="AE496" t="str">
            <v>P0003</v>
          </cell>
          <cell r="AF496" t="str">
            <v>15:21,21:16,21:12</v>
          </cell>
          <cell r="AG496" t="str">
            <v>21:15,16:21,12:21</v>
          </cell>
          <cell r="AH496" t="str">
            <v/>
          </cell>
          <cell r="AI496">
            <v>21</v>
          </cell>
          <cell r="AJ496">
            <v>15</v>
          </cell>
          <cell r="AK496">
            <v>16</v>
          </cell>
          <cell r="AL496">
            <v>21</v>
          </cell>
          <cell r="AM496">
            <v>12</v>
          </cell>
          <cell r="AN496">
            <v>21</v>
          </cell>
        </row>
        <row r="497">
          <cell r="A497" t="str">
            <v/>
          </cell>
          <cell r="B497" t="str">
            <v>Patryk KOPEĆ (Nowa Dęba)</v>
          </cell>
          <cell r="H497" t="str">
            <v>K0029</v>
          </cell>
          <cell r="K497" t="str">
            <v>M0019</v>
          </cell>
          <cell r="N497" t="str">
            <v>Grzegorz MAC  (Rzeszów)</v>
          </cell>
        </row>
        <row r="498">
          <cell r="A498" t="str">
            <v/>
          </cell>
          <cell r="B498" t="str">
            <v>Dawid RZESZUTEK (Mielec)</v>
          </cell>
          <cell r="H498" t="str">
            <v>R0008</v>
          </cell>
          <cell r="K498" t="str">
            <v>P0003</v>
          </cell>
          <cell r="N498" t="str">
            <v>Łukasz PIENIĄŻEK (Rzeszów)</v>
          </cell>
        </row>
        <row r="500">
          <cell r="B500" t="str">
            <v/>
          </cell>
          <cell r="K500" t="str">
            <v>zwycięzca(cy): 15:21,21:16,21:12</v>
          </cell>
        </row>
        <row r="501">
          <cell r="B501">
            <v>72</v>
          </cell>
          <cell r="C501" t="str">
            <v>dzień turnieju.</v>
          </cell>
          <cell r="I501" t="str">
            <v>Nr meczu</v>
          </cell>
          <cell r="N501" t="str">
            <v>Godz.</v>
          </cell>
          <cell r="R501" t="str">
            <v>S. prow.</v>
          </cell>
          <cell r="AF501" t="str">
            <v>wygrany</v>
          </cell>
          <cell r="AG501" t="str">
            <v>przegrany</v>
          </cell>
        </row>
        <row r="502">
          <cell r="B502" t="str">
            <v>Boisko</v>
          </cell>
          <cell r="C502" t="str">
            <v>Gra</v>
          </cell>
          <cell r="I502">
            <v>72</v>
          </cell>
          <cell r="N502" t="str">
            <v>rozp.</v>
          </cell>
          <cell r="P502" t="str">
            <v>zak.</v>
          </cell>
          <cell r="R502" t="str">
            <v>S. serw.</v>
          </cell>
        </row>
        <row r="503">
          <cell r="A503">
            <v>72</v>
          </cell>
          <cell r="C503" t="str">
            <v/>
          </cell>
          <cell r="H503">
            <v>25</v>
          </cell>
          <cell r="I503">
            <v>23</v>
          </cell>
          <cell r="J503">
            <v>21</v>
          </cell>
          <cell r="K503">
            <v>13</v>
          </cell>
          <cell r="R503">
            <v>0</v>
          </cell>
          <cell r="S503" t="str">
            <v>godz.14:40</v>
          </cell>
          <cell r="X503">
            <v>72</v>
          </cell>
          <cell r="Y503" t="str">
            <v/>
          </cell>
          <cell r="Z503" t="str">
            <v>K0034</v>
          </cell>
          <cell r="AA503" t="str">
            <v>W0010</v>
          </cell>
          <cell r="AB503" t="str">
            <v>K0029</v>
          </cell>
          <cell r="AC503" t="str">
            <v>R0008</v>
          </cell>
          <cell r="AD503" t="str">
            <v>K0034</v>
          </cell>
          <cell r="AE503" t="str">
            <v>W0010</v>
          </cell>
          <cell r="AF503" t="str">
            <v>25:23,21:13</v>
          </cell>
          <cell r="AG503" t="str">
            <v>23:25,13:21</v>
          </cell>
          <cell r="AH503" t="str">
            <v/>
          </cell>
          <cell r="AI503">
            <v>25</v>
          </cell>
          <cell r="AJ503">
            <v>23</v>
          </cell>
          <cell r="AK503">
            <v>21</v>
          </cell>
          <cell r="AL503">
            <v>13</v>
          </cell>
          <cell r="AM503">
            <v>0</v>
          </cell>
          <cell r="AN503">
            <v>0</v>
          </cell>
        </row>
        <row r="504">
          <cell r="A504" t="str">
            <v/>
          </cell>
          <cell r="B504" t="str">
            <v>Marcin KOWALIK (Rzeszów)</v>
          </cell>
          <cell r="H504" t="str">
            <v>K0034</v>
          </cell>
          <cell r="K504" t="str">
            <v>K0029</v>
          </cell>
          <cell r="N504" t="str">
            <v>Patryk KOPEĆ (Nowa Dęba)</v>
          </cell>
        </row>
        <row r="505">
          <cell r="A505" t="str">
            <v/>
          </cell>
          <cell r="B505" t="str">
            <v>Dariusz WALAS (Rzeszów)</v>
          </cell>
          <cell r="H505" t="str">
            <v>W0010</v>
          </cell>
          <cell r="K505" t="str">
            <v>R0008</v>
          </cell>
          <cell r="N505" t="str">
            <v>Dawid RZESZUTEK (Mielec)</v>
          </cell>
        </row>
        <row r="507">
          <cell r="B507" t="str">
            <v>zwycięzca(cy): 25:23,21:13</v>
          </cell>
          <cell r="K507" t="str">
            <v/>
          </cell>
        </row>
        <row r="508">
          <cell r="B508">
            <v>73</v>
          </cell>
          <cell r="C508" t="str">
            <v>dzień turnieju.</v>
          </cell>
          <cell r="I508" t="str">
            <v>Nr meczu</v>
          </cell>
          <cell r="N508" t="str">
            <v>Godz.</v>
          </cell>
          <cell r="R508" t="str">
            <v>S. prow.</v>
          </cell>
          <cell r="AF508" t="str">
            <v>wygrany</v>
          </cell>
          <cell r="AG508" t="str">
            <v>przegrany</v>
          </cell>
        </row>
        <row r="509">
          <cell r="B509" t="str">
            <v>Boisko</v>
          </cell>
          <cell r="C509" t="str">
            <v>Gra</v>
          </cell>
          <cell r="I509">
            <v>73</v>
          </cell>
          <cell r="N509" t="str">
            <v>rozp.</v>
          </cell>
          <cell r="P509" t="str">
            <v>zak.</v>
          </cell>
          <cell r="R509" t="str">
            <v>S. serw.</v>
          </cell>
        </row>
        <row r="510">
          <cell r="A510">
            <v>73</v>
          </cell>
          <cell r="C510" t="str">
            <v/>
          </cell>
          <cell r="H510">
            <v>9</v>
          </cell>
          <cell r="I510">
            <v>21</v>
          </cell>
          <cell r="J510">
            <v>12</v>
          </cell>
          <cell r="K510">
            <v>21</v>
          </cell>
          <cell r="R510">
            <v>0</v>
          </cell>
          <cell r="S510" t="str">
            <v>godz.15:00</v>
          </cell>
          <cell r="X510">
            <v>73</v>
          </cell>
          <cell r="Y510" t="str">
            <v/>
          </cell>
          <cell r="Z510" t="str">
            <v>B0009</v>
          </cell>
          <cell r="AA510" t="str">
            <v>R0003</v>
          </cell>
          <cell r="AB510" t="str">
            <v>M0019</v>
          </cell>
          <cell r="AC510" t="str">
            <v>P0003</v>
          </cell>
          <cell r="AD510" t="str">
            <v>M0019</v>
          </cell>
          <cell r="AE510" t="str">
            <v>P0003</v>
          </cell>
          <cell r="AF510" t="str">
            <v>21:9,21:12</v>
          </cell>
          <cell r="AG510" t="str">
            <v>9:21,12:21</v>
          </cell>
          <cell r="AH510" t="str">
            <v/>
          </cell>
          <cell r="AI510">
            <v>9</v>
          </cell>
          <cell r="AJ510">
            <v>21</v>
          </cell>
          <cell r="AK510">
            <v>12</v>
          </cell>
          <cell r="AL510">
            <v>21</v>
          </cell>
          <cell r="AM510">
            <v>0</v>
          </cell>
          <cell r="AN510">
            <v>0</v>
          </cell>
        </row>
        <row r="511">
          <cell r="A511" t="str">
            <v/>
          </cell>
          <cell r="B511" t="str">
            <v>Adam BUNIO (Nowa Dęba)</v>
          </cell>
          <cell r="H511" t="str">
            <v>B0009</v>
          </cell>
          <cell r="K511" t="str">
            <v>M0019</v>
          </cell>
          <cell r="N511" t="str">
            <v>Grzegorz MAC  (Rzeszów)</v>
          </cell>
        </row>
        <row r="512">
          <cell r="A512" t="str">
            <v/>
          </cell>
          <cell r="B512" t="str">
            <v>Dawid RZĄSA (Nowa Dęba)</v>
          </cell>
          <cell r="H512" t="str">
            <v>R0003</v>
          </cell>
          <cell r="K512" t="str">
            <v>P0003</v>
          </cell>
          <cell r="N512" t="str">
            <v>Łukasz PIENIĄŻEK (Rzeszów)</v>
          </cell>
        </row>
        <row r="514">
          <cell r="B514" t="str">
            <v/>
          </cell>
          <cell r="K514" t="str">
            <v>zwycięzca(cy): 21:9,21:12</v>
          </cell>
        </row>
      </sheetData>
      <sheetData sheetId="3">
        <row r="8">
          <cell r="I8" t="str">
            <v>11Runners Up</v>
          </cell>
          <cell r="J8" t="str">
            <v>P0003</v>
          </cell>
          <cell r="K8">
            <v>0</v>
          </cell>
        </row>
        <row r="10">
          <cell r="I10" t="str">
            <v>21Runners Up</v>
          </cell>
          <cell r="J10" t="str">
            <v>R0003</v>
          </cell>
          <cell r="K10">
            <v>0</v>
          </cell>
        </row>
        <row r="12">
          <cell r="I12" t="str">
            <v>31Runners Up</v>
          </cell>
          <cell r="J12" t="str">
            <v>G0002</v>
          </cell>
          <cell r="K12">
            <v>0</v>
          </cell>
        </row>
        <row r="14">
          <cell r="I14" t="str">
            <v>41Runners Up</v>
          </cell>
          <cell r="J14" t="str">
            <v>W0009</v>
          </cell>
          <cell r="K14">
            <v>0</v>
          </cell>
        </row>
        <row r="23">
          <cell r="I23" t="str">
            <v>12Runners Up</v>
          </cell>
          <cell r="J23" t="str">
            <v>K0029</v>
          </cell>
          <cell r="K23">
            <v>0</v>
          </cell>
        </row>
        <row r="25">
          <cell r="I25" t="str">
            <v>22Runners Up</v>
          </cell>
          <cell r="J25" t="str">
            <v>M0008</v>
          </cell>
          <cell r="K25">
            <v>0</v>
          </cell>
        </row>
        <row r="27">
          <cell r="I27" t="str">
            <v>32Runners Up</v>
          </cell>
          <cell r="J27" t="str">
            <v>R0010</v>
          </cell>
          <cell r="K27">
            <v>0</v>
          </cell>
        </row>
        <row r="35">
          <cell r="I35" t="str">
            <v>13Runners Up</v>
          </cell>
          <cell r="J35" t="str">
            <v>B0006</v>
          </cell>
          <cell r="K35">
            <v>0</v>
          </cell>
        </row>
        <row r="37">
          <cell r="I37" t="str">
            <v>23Runners Up</v>
          </cell>
          <cell r="J37" t="str">
            <v>N0002</v>
          </cell>
          <cell r="K37">
            <v>0</v>
          </cell>
        </row>
        <row r="39">
          <cell r="I39" t="str">
            <v>33Runners Up</v>
          </cell>
          <cell r="J39" t="str">
            <v>K0034</v>
          </cell>
          <cell r="K39">
            <v>0</v>
          </cell>
        </row>
        <row r="47">
          <cell r="I47" t="str">
            <v>14Runners Up</v>
          </cell>
          <cell r="J47" t="str">
            <v>K0033</v>
          </cell>
          <cell r="K47">
            <v>0</v>
          </cell>
        </row>
        <row r="49">
          <cell r="I49" t="str">
            <v>24Runners Up</v>
          </cell>
          <cell r="J49" t="str">
            <v>R0008</v>
          </cell>
          <cell r="K49">
            <v>0</v>
          </cell>
        </row>
        <row r="51">
          <cell r="I51" t="str">
            <v>34Runners Up</v>
          </cell>
          <cell r="J51" t="str">
            <v>G0011</v>
          </cell>
          <cell r="K51">
            <v>0</v>
          </cell>
        </row>
        <row r="58">
          <cell r="I58" t="str">
            <v>15Runners Up</v>
          </cell>
          <cell r="J58" t="str">
            <v>W0010</v>
          </cell>
          <cell r="K58">
            <v>0</v>
          </cell>
        </row>
        <row r="60">
          <cell r="I60" t="str">
            <v>25Runners Up</v>
          </cell>
          <cell r="J60" t="str">
            <v>M0012</v>
          </cell>
          <cell r="K60">
            <v>0</v>
          </cell>
        </row>
        <row r="62">
          <cell r="I62" t="str">
            <v>35Runners Up</v>
          </cell>
          <cell r="J62" t="str">
            <v>D0003</v>
          </cell>
          <cell r="K62">
            <v>0</v>
          </cell>
        </row>
        <row r="70">
          <cell r="I70" t="str">
            <v>16Runners Up</v>
          </cell>
          <cell r="J70" t="str">
            <v>B0009</v>
          </cell>
          <cell r="K70">
            <v>0</v>
          </cell>
        </row>
        <row r="72">
          <cell r="I72" t="str">
            <v>26Runners Up</v>
          </cell>
          <cell r="J72" t="str">
            <v>M0019</v>
          </cell>
          <cell r="K72">
            <v>0</v>
          </cell>
        </row>
        <row r="74">
          <cell r="I74" t="str">
            <v>36Runners Up</v>
          </cell>
          <cell r="J74" t="str">
            <v>K0014</v>
          </cell>
          <cell r="K74">
            <v>0</v>
          </cell>
        </row>
        <row r="76">
          <cell r="I76" t="str">
            <v>46Runners Up</v>
          </cell>
          <cell r="J76" t="str">
            <v>P0019</v>
          </cell>
          <cell r="K76">
            <v>0</v>
          </cell>
        </row>
        <row r="165">
          <cell r="I165" t="str">
            <v>11Open</v>
          </cell>
          <cell r="J165" t="str">
            <v>P0003</v>
          </cell>
          <cell r="K165">
            <v>0</v>
          </cell>
        </row>
        <row r="167">
          <cell r="I167" t="str">
            <v>21Open</v>
          </cell>
          <cell r="J167" t="str">
            <v>M0012</v>
          </cell>
          <cell r="K167">
            <v>0</v>
          </cell>
        </row>
        <row r="169">
          <cell r="I169" t="str">
            <v>31Open</v>
          </cell>
          <cell r="J169" t="str">
            <v>K0014</v>
          </cell>
          <cell r="K169">
            <v>0</v>
          </cell>
        </row>
        <row r="171">
          <cell r="I171" t="str">
            <v>41Open</v>
          </cell>
          <cell r="J171" t="str">
            <v>G0011</v>
          </cell>
          <cell r="K171">
            <v>0</v>
          </cell>
        </row>
        <row r="180">
          <cell r="I180" t="str">
            <v>12Open</v>
          </cell>
          <cell r="J180" t="str">
            <v>W0010</v>
          </cell>
          <cell r="K180">
            <v>0</v>
          </cell>
        </row>
        <row r="182">
          <cell r="I182" t="str">
            <v>22Open</v>
          </cell>
          <cell r="J182" t="str">
            <v>M0019</v>
          </cell>
          <cell r="K182">
            <v>0</v>
          </cell>
        </row>
        <row r="184">
          <cell r="I184" t="str">
            <v>32Open</v>
          </cell>
          <cell r="J184" t="str">
            <v>I0002</v>
          </cell>
          <cell r="K184">
            <v>0</v>
          </cell>
        </row>
        <row r="192">
          <cell r="I192" t="str">
            <v>13Open</v>
          </cell>
          <cell r="J192" t="str">
            <v>G0002</v>
          </cell>
          <cell r="K192">
            <v>0</v>
          </cell>
        </row>
        <row r="194">
          <cell r="I194" t="str">
            <v>23Open</v>
          </cell>
          <cell r="J194" t="str">
            <v>K0034</v>
          </cell>
          <cell r="K194">
            <v>0</v>
          </cell>
        </row>
        <row r="196">
          <cell r="I196" t="str">
            <v>33Open</v>
          </cell>
          <cell r="J196" t="str">
            <v>Ś0002</v>
          </cell>
          <cell r="K196">
            <v>0</v>
          </cell>
        </row>
      </sheetData>
      <sheetData sheetId="8">
        <row r="1">
          <cell r="A1" t="str">
            <v>PZBADNR</v>
          </cell>
          <cell r="B1" t="str">
            <v>IMIĘ</v>
          </cell>
          <cell r="C1" t="str">
            <v>NAZWISKO</v>
          </cell>
          <cell r="D1" t="str">
            <v>KLUB</v>
          </cell>
          <cell r="E1" t="str">
            <v>Dane zawodników z dnia 2011-02-09</v>
          </cell>
        </row>
        <row r="2">
          <cell r="A2" t="str">
            <v>B0001</v>
          </cell>
          <cell r="B2" t="str">
            <v>Maciej</v>
          </cell>
          <cell r="C2" t="str">
            <v>BARAN</v>
          </cell>
          <cell r="D2" t="str">
            <v>Budziwój</v>
          </cell>
        </row>
        <row r="3">
          <cell r="A3" t="str">
            <v>B0002</v>
          </cell>
          <cell r="B3" t="str">
            <v>Kinga</v>
          </cell>
          <cell r="C3" t="str">
            <v>BAZAN</v>
          </cell>
          <cell r="D3" t="str">
            <v>Sokołów Młp.</v>
          </cell>
        </row>
        <row r="4">
          <cell r="A4" t="str">
            <v>B0003</v>
          </cell>
          <cell r="B4" t="str">
            <v>Tadeusz</v>
          </cell>
          <cell r="C4" t="str">
            <v>BAZAN</v>
          </cell>
          <cell r="D4" t="str">
            <v>Sokołów Młp.</v>
          </cell>
        </row>
        <row r="5">
          <cell r="A5" t="str">
            <v>B0004</v>
          </cell>
          <cell r="B5" t="str">
            <v>Mateusz</v>
          </cell>
          <cell r="C5" t="str">
            <v>BIELASZKA</v>
          </cell>
          <cell r="D5" t="str">
            <v>Szczucin</v>
          </cell>
        </row>
        <row r="6">
          <cell r="A6" t="str">
            <v>B0005</v>
          </cell>
          <cell r="B6" t="str">
            <v>Stanisław</v>
          </cell>
          <cell r="C6" t="str">
            <v>BIELSKI </v>
          </cell>
          <cell r="D6" t="str">
            <v>Nowa Dęba</v>
          </cell>
        </row>
        <row r="7">
          <cell r="A7" t="str">
            <v>B0006</v>
          </cell>
          <cell r="B7" t="str">
            <v>Adrian</v>
          </cell>
          <cell r="C7" t="str">
            <v>BOGDAN</v>
          </cell>
          <cell r="D7" t="str">
            <v>Nowa Dęba</v>
          </cell>
        </row>
        <row r="8">
          <cell r="A8" t="str">
            <v>B0007</v>
          </cell>
          <cell r="B8" t="str">
            <v>Jakub</v>
          </cell>
          <cell r="C8" t="str">
            <v>BOJARSKI</v>
          </cell>
          <cell r="D8" t="str">
            <v>Tarnobrzeg</v>
          </cell>
        </row>
        <row r="9">
          <cell r="A9" t="str">
            <v>B0008</v>
          </cell>
          <cell r="B9" t="str">
            <v>Wojciech</v>
          </cell>
          <cell r="C9" t="str">
            <v>BUCZYŃSKI</v>
          </cell>
          <cell r="D9" t="str">
            <v>Straszęcin</v>
          </cell>
        </row>
        <row r="10">
          <cell r="A10" t="str">
            <v>B0009</v>
          </cell>
          <cell r="B10" t="str">
            <v>Adam</v>
          </cell>
          <cell r="C10" t="str">
            <v>BUNIO</v>
          </cell>
          <cell r="D10" t="str">
            <v>Nowa Dęba</v>
          </cell>
        </row>
        <row r="11">
          <cell r="A11" t="str">
            <v>B0010</v>
          </cell>
          <cell r="B11" t="str">
            <v>Tomasz</v>
          </cell>
          <cell r="C11" t="str">
            <v>BIENIEK</v>
          </cell>
          <cell r="D11" t="str">
            <v>Mielec</v>
          </cell>
        </row>
        <row r="12">
          <cell r="A12" t="str">
            <v>B0011</v>
          </cell>
          <cell r="B12" t="str">
            <v>Aleksandra</v>
          </cell>
          <cell r="C12" t="str">
            <v>BIAŁEK</v>
          </cell>
          <cell r="D12" t="str">
            <v>Widełka</v>
          </cell>
        </row>
        <row r="13">
          <cell r="A13" t="str">
            <v>B0012</v>
          </cell>
          <cell r="B13" t="str">
            <v>Wiesław</v>
          </cell>
          <cell r="C13" t="str">
            <v>BĄK</v>
          </cell>
          <cell r="D13" t="str">
            <v>Jarosław</v>
          </cell>
        </row>
        <row r="14">
          <cell r="A14" t="str">
            <v>B0013</v>
          </cell>
          <cell r="B14" t="str">
            <v>Andrzej</v>
          </cell>
          <cell r="C14" t="str">
            <v>BURLIKOWSKI</v>
          </cell>
          <cell r="D14" t="str">
            <v>Jarosław</v>
          </cell>
        </row>
        <row r="15">
          <cell r="A15" t="str">
            <v>B0014</v>
          </cell>
          <cell r="B15" t="str">
            <v>Jozsef</v>
          </cell>
          <cell r="C15" t="str">
            <v>BOZSO</v>
          </cell>
          <cell r="D15" t="str">
            <v>Szolnok (Hungary)</v>
          </cell>
        </row>
        <row r="16">
          <cell r="A16" t="str">
            <v>C0001</v>
          </cell>
          <cell r="B16" t="str">
            <v>Mateusz</v>
          </cell>
          <cell r="C16" t="str">
            <v>CIURKOT</v>
          </cell>
          <cell r="D16" t="str">
            <v>Straszęcin</v>
          </cell>
        </row>
        <row r="17">
          <cell r="A17" t="str">
            <v>C0002</v>
          </cell>
          <cell r="B17" t="str">
            <v>Cezary</v>
          </cell>
          <cell r="C17" t="str">
            <v>CYNKIER</v>
          </cell>
          <cell r="D17" t="str">
            <v>Sokołów Młp.</v>
          </cell>
        </row>
        <row r="18">
          <cell r="A18" t="str">
            <v>C0003</v>
          </cell>
          <cell r="B18" t="str">
            <v>Jakub</v>
          </cell>
          <cell r="C18" t="str">
            <v>CZACHOR</v>
          </cell>
          <cell r="D18" t="str">
            <v>Mielec</v>
          </cell>
        </row>
        <row r="19">
          <cell r="A19" t="str">
            <v>C0004</v>
          </cell>
          <cell r="B19" t="str">
            <v>Mateusz</v>
          </cell>
          <cell r="C19" t="str">
            <v>CZUB</v>
          </cell>
          <cell r="D19" t="str">
            <v>Szczucin</v>
          </cell>
        </row>
        <row r="20">
          <cell r="A20" t="str">
            <v>C0005</v>
          </cell>
          <cell r="B20" t="str">
            <v>Bartosz</v>
          </cell>
          <cell r="C20" t="str">
            <v>CURZYTEK</v>
          </cell>
          <cell r="D20" t="str">
            <v>Ropczyce</v>
          </cell>
        </row>
        <row r="21">
          <cell r="A21" t="str">
            <v>C0006</v>
          </cell>
          <cell r="B21" t="str">
            <v>Mateusz</v>
          </cell>
          <cell r="C21" t="str">
            <v>CZACHOR</v>
          </cell>
          <cell r="D21" t="str">
            <v>Nowa Dęba</v>
          </cell>
        </row>
        <row r="22">
          <cell r="A22" t="str">
            <v>C0007</v>
          </cell>
          <cell r="B22" t="str">
            <v>Krystian </v>
          </cell>
          <cell r="C22" t="str">
            <v>CHRZĄŚCIK</v>
          </cell>
          <cell r="D22" t="str">
            <v>Gorlice</v>
          </cell>
        </row>
        <row r="23">
          <cell r="A23" t="str">
            <v>D0001</v>
          </cell>
          <cell r="B23" t="str">
            <v>Mariusz</v>
          </cell>
          <cell r="C23" t="str">
            <v>DEREŃ</v>
          </cell>
          <cell r="D23" t="str">
            <v>Leżajsk</v>
          </cell>
        </row>
        <row r="24">
          <cell r="A24" t="str">
            <v>D0002</v>
          </cell>
          <cell r="B24" t="str">
            <v>Aleksandra</v>
          </cell>
          <cell r="C24" t="str">
            <v>DERNOGA </v>
          </cell>
          <cell r="D24" t="str">
            <v>Szczucin</v>
          </cell>
        </row>
        <row r="25">
          <cell r="A25" t="str">
            <v>D0003</v>
          </cell>
          <cell r="B25" t="str">
            <v>Łukasz</v>
          </cell>
          <cell r="C25" t="str">
            <v>DYCHA</v>
          </cell>
          <cell r="D25" t="str">
            <v>Nowa Dęba</v>
          </cell>
        </row>
        <row r="26">
          <cell r="A26" t="str">
            <v>D0004</v>
          </cell>
          <cell r="B26" t="str">
            <v>Rafał</v>
          </cell>
          <cell r="C26" t="str">
            <v>DYCHTOŃ</v>
          </cell>
          <cell r="D26" t="str">
            <v>Tarnów</v>
          </cell>
        </row>
        <row r="27">
          <cell r="A27" t="str">
            <v>D0005</v>
          </cell>
          <cell r="B27" t="str">
            <v>Radosław</v>
          </cell>
          <cell r="C27" t="str">
            <v>DZIURA</v>
          </cell>
          <cell r="D27" t="str">
            <v>Szczucin</v>
          </cell>
        </row>
        <row r="28">
          <cell r="A28" t="str">
            <v>D0006</v>
          </cell>
          <cell r="B28" t="str">
            <v>Krzysztof</v>
          </cell>
          <cell r="C28" t="str">
            <v>DUBIEL</v>
          </cell>
          <cell r="D28" t="str">
            <v>Strzyżów</v>
          </cell>
        </row>
        <row r="29">
          <cell r="A29" t="str">
            <v>D0007</v>
          </cell>
          <cell r="B29" t="str">
            <v>Karolina</v>
          </cell>
          <cell r="C29" t="str">
            <v>DZIEKAN</v>
          </cell>
          <cell r="D29" t="str">
            <v>Mielec</v>
          </cell>
        </row>
        <row r="30">
          <cell r="A30" t="str">
            <v>F0001</v>
          </cell>
          <cell r="B30" t="str">
            <v>Mariusz</v>
          </cell>
          <cell r="C30" t="str">
            <v>FERFECKI</v>
          </cell>
          <cell r="D30" t="str">
            <v>Ropczyce</v>
          </cell>
        </row>
        <row r="31">
          <cell r="A31" t="str">
            <v>F0002</v>
          </cell>
          <cell r="B31" t="str">
            <v>Wojciech</v>
          </cell>
          <cell r="C31" t="str">
            <v>FILEMONOWICZ</v>
          </cell>
          <cell r="D31" t="str">
            <v>Tarnów</v>
          </cell>
        </row>
        <row r="32">
          <cell r="A32" t="str">
            <v>F0003</v>
          </cell>
          <cell r="B32" t="str">
            <v>Grzegorz</v>
          </cell>
          <cell r="C32" t="str">
            <v>FIJAŁKOWSKI</v>
          </cell>
          <cell r="D32" t="str">
            <v>Mielec</v>
          </cell>
        </row>
        <row r="33">
          <cell r="A33" t="str">
            <v>G0001</v>
          </cell>
          <cell r="B33" t="str">
            <v>Agnieszka</v>
          </cell>
          <cell r="C33" t="str">
            <v>GAWEŁ</v>
          </cell>
          <cell r="D33" t="str">
            <v>Widełka</v>
          </cell>
        </row>
        <row r="34">
          <cell r="A34" t="str">
            <v>G0002</v>
          </cell>
          <cell r="B34" t="str">
            <v>Jarosław</v>
          </cell>
          <cell r="C34" t="str">
            <v>GÓRSKI</v>
          </cell>
          <cell r="D34" t="str">
            <v>Gorlice</v>
          </cell>
        </row>
        <row r="35">
          <cell r="A35" t="str">
            <v>G0003</v>
          </cell>
          <cell r="B35" t="str">
            <v>Marcin</v>
          </cell>
          <cell r="C35" t="str">
            <v>GRUSZKOWSKI</v>
          </cell>
          <cell r="D35" t="str">
            <v>Gorlice</v>
          </cell>
        </row>
        <row r="36">
          <cell r="A36" t="str">
            <v>G0004</v>
          </cell>
          <cell r="B36" t="str">
            <v>Marcin</v>
          </cell>
          <cell r="C36" t="str">
            <v>GZYL</v>
          </cell>
          <cell r="D36" t="str">
            <v>Tarnów</v>
          </cell>
        </row>
        <row r="37">
          <cell r="A37" t="str">
            <v>G0005</v>
          </cell>
          <cell r="B37" t="str">
            <v>Bogdan</v>
          </cell>
          <cell r="C37" t="str">
            <v>GUNIA</v>
          </cell>
          <cell r="D37" t="str">
            <v>Nowa Dęba</v>
          </cell>
        </row>
        <row r="38">
          <cell r="A38" t="str">
            <v>G0006</v>
          </cell>
          <cell r="B38" t="str">
            <v>Cyprian</v>
          </cell>
          <cell r="C38" t="str">
            <v>GERWATOWSKI</v>
          </cell>
          <cell r="D38" t="str">
            <v>Kraków</v>
          </cell>
        </row>
        <row r="39">
          <cell r="A39" t="str">
            <v>G0007</v>
          </cell>
          <cell r="B39" t="str">
            <v>Wojciech</v>
          </cell>
          <cell r="C39" t="str">
            <v>GAWROŃSKI</v>
          </cell>
          <cell r="D39" t="str">
            <v>Kraków</v>
          </cell>
        </row>
        <row r="40">
          <cell r="A40" t="str">
            <v>G0008</v>
          </cell>
          <cell r="B40" t="str">
            <v>Marcin</v>
          </cell>
          <cell r="C40" t="str">
            <v>GRZEGORSKI</v>
          </cell>
          <cell r="D40" t="str">
            <v>Ropczyce</v>
          </cell>
        </row>
        <row r="41">
          <cell r="A41" t="str">
            <v>G0009</v>
          </cell>
          <cell r="B41" t="str">
            <v>Mateusz</v>
          </cell>
          <cell r="C41" t="str">
            <v>GOLATOWSKI</v>
          </cell>
          <cell r="D41" t="str">
            <v>Przemyśl</v>
          </cell>
        </row>
        <row r="42">
          <cell r="A42" t="str">
            <v>G0010</v>
          </cell>
          <cell r="B42" t="str">
            <v>Przemysław</v>
          </cell>
          <cell r="C42" t="str">
            <v>GRZESZKOWIAK</v>
          </cell>
          <cell r="D42" t="str">
            <v>Warszawa</v>
          </cell>
        </row>
        <row r="43">
          <cell r="A43" t="str">
            <v>G0011</v>
          </cell>
          <cell r="B43" t="str">
            <v>Jakub</v>
          </cell>
          <cell r="C43" t="str">
            <v>GERCZAK</v>
          </cell>
          <cell r="D43" t="str">
            <v>Rzeszów</v>
          </cell>
        </row>
        <row r="44">
          <cell r="A44" t="str">
            <v>H0001</v>
          </cell>
          <cell r="B44" t="str">
            <v>Krzysztof</v>
          </cell>
          <cell r="C44" t="str">
            <v>HAŁKA</v>
          </cell>
          <cell r="D44" t="str">
            <v>Nowa Dęba</v>
          </cell>
        </row>
        <row r="45">
          <cell r="A45" t="str">
            <v>H0002</v>
          </cell>
          <cell r="B45" t="str">
            <v>Maria</v>
          </cell>
          <cell r="C45" t="str">
            <v>HAŁKA</v>
          </cell>
          <cell r="D45" t="str">
            <v>Nowa Dęba</v>
          </cell>
        </row>
        <row r="46">
          <cell r="A46" t="str">
            <v>H0003</v>
          </cell>
          <cell r="B46" t="str">
            <v>Lidia</v>
          </cell>
          <cell r="C46" t="str">
            <v>HASSMAN</v>
          </cell>
          <cell r="D46" t="str">
            <v>Sokołów Młp.</v>
          </cell>
        </row>
        <row r="47">
          <cell r="A47" t="str">
            <v>H0004</v>
          </cell>
          <cell r="B47" t="str">
            <v>Monika</v>
          </cell>
          <cell r="C47" t="str">
            <v>HONKOWICZ</v>
          </cell>
          <cell r="D47" t="str">
            <v>Gorlice</v>
          </cell>
        </row>
        <row r="48">
          <cell r="A48" t="str">
            <v>H0005</v>
          </cell>
          <cell r="B48" t="str">
            <v>Filip</v>
          </cell>
          <cell r="C48" t="str">
            <v>HOŁOWICKI</v>
          </cell>
          <cell r="D48" t="str">
            <v>Mielec</v>
          </cell>
        </row>
        <row r="49">
          <cell r="A49" t="str">
            <v>I0001</v>
          </cell>
          <cell r="B49" t="str">
            <v>Michał</v>
          </cell>
          <cell r="C49" t="str">
            <v>IWANIEC</v>
          </cell>
          <cell r="D49" t="str">
            <v>Tarnów</v>
          </cell>
        </row>
        <row r="50">
          <cell r="A50" t="str">
            <v>I0002</v>
          </cell>
          <cell r="B50" t="str">
            <v>Igor</v>
          </cell>
          <cell r="C50" t="str">
            <v>IWAŃSKI</v>
          </cell>
          <cell r="D50" t="str">
            <v>Mielec</v>
          </cell>
        </row>
        <row r="51">
          <cell r="A51" t="str">
            <v>J0001</v>
          </cell>
          <cell r="B51" t="str">
            <v>Mateusz</v>
          </cell>
          <cell r="C51" t="str">
            <v>JĘDRZEJKO</v>
          </cell>
          <cell r="D51" t="str">
            <v>Rzeszów</v>
          </cell>
        </row>
        <row r="52">
          <cell r="A52" t="str">
            <v>J0002</v>
          </cell>
          <cell r="B52" t="str">
            <v>Bartosz</v>
          </cell>
          <cell r="C52" t="str">
            <v>JABŁOŃSKI</v>
          </cell>
          <cell r="D52" t="str">
            <v>Połaniec</v>
          </cell>
        </row>
        <row r="53">
          <cell r="A53" t="str">
            <v>K0001</v>
          </cell>
          <cell r="B53" t="str">
            <v>Marcin</v>
          </cell>
          <cell r="C53" t="str">
            <v>KALTENBERG</v>
          </cell>
          <cell r="D53" t="str">
            <v>Tarnobrzeg</v>
          </cell>
        </row>
        <row r="54">
          <cell r="A54" t="str">
            <v>K0002</v>
          </cell>
          <cell r="B54" t="str">
            <v>Mirosław</v>
          </cell>
          <cell r="C54" t="str">
            <v>KARKUT</v>
          </cell>
          <cell r="D54" t="str">
            <v>Widełka</v>
          </cell>
        </row>
        <row r="55">
          <cell r="A55" t="str">
            <v>K0003</v>
          </cell>
          <cell r="B55" t="str">
            <v>Robert</v>
          </cell>
          <cell r="C55" t="str">
            <v>KARNASIEWICZ</v>
          </cell>
          <cell r="D55" t="str">
            <v>Mielec</v>
          </cell>
        </row>
        <row r="56">
          <cell r="A56" t="str">
            <v>K0004</v>
          </cell>
          <cell r="B56" t="str">
            <v>Kinga</v>
          </cell>
          <cell r="C56" t="str">
            <v>KATRA</v>
          </cell>
          <cell r="D56" t="str">
            <v>Nowa Dęba</v>
          </cell>
        </row>
        <row r="57">
          <cell r="A57" t="str">
            <v>K0005</v>
          </cell>
          <cell r="B57" t="str">
            <v>Leszek</v>
          </cell>
          <cell r="C57" t="str">
            <v>KIWAK</v>
          </cell>
          <cell r="D57" t="str">
            <v>Kolbuszowa</v>
          </cell>
        </row>
        <row r="58">
          <cell r="A58" t="str">
            <v>K0006</v>
          </cell>
          <cell r="B58" t="str">
            <v>Klaudia</v>
          </cell>
          <cell r="C58" t="str">
            <v>KLIŚ</v>
          </cell>
          <cell r="D58" t="str">
            <v>Szczucin</v>
          </cell>
        </row>
        <row r="59">
          <cell r="A59" t="str">
            <v>K0007</v>
          </cell>
          <cell r="B59" t="str">
            <v>Jerzy</v>
          </cell>
          <cell r="C59" t="str">
            <v>KNOT</v>
          </cell>
          <cell r="D59" t="str">
            <v>Gorlice</v>
          </cell>
        </row>
        <row r="60">
          <cell r="A60" t="str">
            <v>K0008</v>
          </cell>
          <cell r="B60" t="str">
            <v>Maciej</v>
          </cell>
          <cell r="C60" t="str">
            <v>KNOT</v>
          </cell>
          <cell r="D60" t="str">
            <v>Gorlice</v>
          </cell>
        </row>
        <row r="61">
          <cell r="A61" t="str">
            <v>K0009</v>
          </cell>
          <cell r="B61" t="str">
            <v>Filip</v>
          </cell>
          <cell r="C61" t="str">
            <v>KOC</v>
          </cell>
          <cell r="D61" t="str">
            <v>Sokołów Młp.</v>
          </cell>
        </row>
        <row r="62">
          <cell r="A62" t="str">
            <v>K0010</v>
          </cell>
          <cell r="B62" t="str">
            <v>Łukasz</v>
          </cell>
          <cell r="C62" t="str">
            <v>KOŚCIÓŁEK</v>
          </cell>
          <cell r="D62" t="str">
            <v>Sokołów Młp.</v>
          </cell>
        </row>
        <row r="63">
          <cell r="A63" t="str">
            <v>K0011</v>
          </cell>
          <cell r="B63" t="str">
            <v>Bartłomiej</v>
          </cell>
          <cell r="C63" t="str">
            <v>KOŚMIDER</v>
          </cell>
          <cell r="D63" t="str">
            <v>Szczucin</v>
          </cell>
        </row>
        <row r="64">
          <cell r="A64" t="str">
            <v>K0012</v>
          </cell>
          <cell r="B64" t="str">
            <v>Piotr</v>
          </cell>
          <cell r="C64" t="str">
            <v>KOTERBA</v>
          </cell>
          <cell r="D64" t="str">
            <v>Rzeszów</v>
          </cell>
        </row>
        <row r="65">
          <cell r="A65" t="str">
            <v>K0013</v>
          </cell>
          <cell r="B65" t="str">
            <v>Paweł</v>
          </cell>
          <cell r="C65" t="str">
            <v>KSIĄŻEK</v>
          </cell>
          <cell r="D65" t="str">
            <v>Straszęcin</v>
          </cell>
        </row>
        <row r="66">
          <cell r="A66" t="str">
            <v>K0014</v>
          </cell>
          <cell r="B66" t="str">
            <v>Zdzisław</v>
          </cell>
          <cell r="C66" t="str">
            <v>KULA </v>
          </cell>
          <cell r="D66" t="str">
            <v>Tarnów</v>
          </cell>
        </row>
        <row r="67">
          <cell r="A67" t="str">
            <v>K0015</v>
          </cell>
          <cell r="B67" t="str">
            <v>Wojciech</v>
          </cell>
          <cell r="C67" t="str">
            <v>KURZYŃSKI</v>
          </cell>
          <cell r="D67" t="str">
            <v>Tarnobrzeg</v>
          </cell>
        </row>
        <row r="68">
          <cell r="A68" t="str">
            <v>K0016</v>
          </cell>
          <cell r="B68" t="str">
            <v>Bernadetta</v>
          </cell>
          <cell r="C68" t="str">
            <v>KUTACHA</v>
          </cell>
          <cell r="D68" t="str">
            <v>Widełka</v>
          </cell>
        </row>
        <row r="69">
          <cell r="A69" t="str">
            <v>K0017</v>
          </cell>
          <cell r="B69" t="str">
            <v>Mateusz</v>
          </cell>
          <cell r="C69" t="str">
            <v>KWIATKOWSKI</v>
          </cell>
          <cell r="D69" t="str">
            <v>Tarnobrzeg</v>
          </cell>
        </row>
        <row r="70">
          <cell r="A70" t="str">
            <v>K0018</v>
          </cell>
          <cell r="B70" t="str">
            <v>Paweł</v>
          </cell>
          <cell r="C70" t="str">
            <v>KOT </v>
          </cell>
          <cell r="D70" t="str">
            <v>Nowa Dęba</v>
          </cell>
        </row>
        <row r="71">
          <cell r="A71" t="str">
            <v>K0019</v>
          </cell>
          <cell r="B71" t="str">
            <v>Krystian</v>
          </cell>
          <cell r="C71" t="str">
            <v>KOŁODZIEJ</v>
          </cell>
          <cell r="D71" t="str">
            <v>Sokołów Młp.</v>
          </cell>
        </row>
        <row r="72">
          <cell r="A72" t="str">
            <v>K0020</v>
          </cell>
          <cell r="B72" t="str">
            <v>Konrad</v>
          </cell>
          <cell r="C72" t="str">
            <v>KONASZEWSKI</v>
          </cell>
          <cell r="D72" t="str">
            <v>Rzeszów</v>
          </cell>
        </row>
        <row r="73">
          <cell r="A73" t="str">
            <v>K0021</v>
          </cell>
          <cell r="B73" t="str">
            <v>Lucjan</v>
          </cell>
          <cell r="C73" t="str">
            <v>KONASZEWSKI</v>
          </cell>
          <cell r="D73" t="str">
            <v>Rzeszów</v>
          </cell>
        </row>
        <row r="74">
          <cell r="A74" t="str">
            <v>K0022</v>
          </cell>
          <cell r="B74" t="str">
            <v>Hubert</v>
          </cell>
          <cell r="C74" t="str">
            <v>KUKOWSKI</v>
          </cell>
          <cell r="D74" t="str">
            <v>Mielec</v>
          </cell>
        </row>
        <row r="75">
          <cell r="A75" t="str">
            <v>K0023</v>
          </cell>
          <cell r="B75" t="str">
            <v>Lucjan</v>
          </cell>
          <cell r="C75" t="str">
            <v>KAWAŁEK</v>
          </cell>
          <cell r="D75" t="str">
            <v>Gorlice</v>
          </cell>
        </row>
        <row r="76">
          <cell r="A76" t="str">
            <v>K0024</v>
          </cell>
          <cell r="B76" t="str">
            <v>Wojciech</v>
          </cell>
          <cell r="C76" t="str">
            <v>KRAUS</v>
          </cell>
          <cell r="D76" t="str">
            <v>Gorlice</v>
          </cell>
        </row>
        <row r="77">
          <cell r="A77" t="str">
            <v>K0025</v>
          </cell>
          <cell r="B77" t="str">
            <v>Marek</v>
          </cell>
          <cell r="C77" t="str">
            <v>KOTOWICZ</v>
          </cell>
          <cell r="D77" t="str">
            <v>Gorlice</v>
          </cell>
        </row>
        <row r="78">
          <cell r="A78" t="str">
            <v>K0026</v>
          </cell>
          <cell r="B78" t="str">
            <v>Kamil</v>
          </cell>
          <cell r="C78" t="str">
            <v>KRUKOWSKI</v>
          </cell>
          <cell r="D78" t="str">
            <v>Nowa Dęba</v>
          </cell>
        </row>
        <row r="79">
          <cell r="A79" t="str">
            <v>K0027</v>
          </cell>
          <cell r="B79" t="str">
            <v>Miłosz</v>
          </cell>
          <cell r="C79" t="str">
            <v>KUKUŁA</v>
          </cell>
          <cell r="D79" t="str">
            <v>Gorlice</v>
          </cell>
        </row>
        <row r="80">
          <cell r="A80" t="str">
            <v>K0028</v>
          </cell>
          <cell r="B80" t="str">
            <v>Katarzyna</v>
          </cell>
          <cell r="C80" t="str">
            <v>KUTACHA</v>
          </cell>
          <cell r="D80" t="str">
            <v>Widełka</v>
          </cell>
        </row>
        <row r="81">
          <cell r="A81" t="str">
            <v>K0029</v>
          </cell>
          <cell r="B81" t="str">
            <v>Patryk</v>
          </cell>
          <cell r="C81" t="str">
            <v>KOPEĆ</v>
          </cell>
          <cell r="D81" t="str">
            <v>Nowa Dęba</v>
          </cell>
        </row>
        <row r="82">
          <cell r="A82" t="str">
            <v>K0030</v>
          </cell>
          <cell r="B82" t="str">
            <v>Paweł</v>
          </cell>
          <cell r="C82" t="str">
            <v>KOPAŃSKI</v>
          </cell>
          <cell r="D82" t="str">
            <v>Widełka</v>
          </cell>
        </row>
        <row r="83">
          <cell r="A83" t="str">
            <v>K0031</v>
          </cell>
          <cell r="B83" t="str">
            <v>Wiktoria</v>
          </cell>
          <cell r="C83" t="str">
            <v>KAPINOS</v>
          </cell>
          <cell r="D83" t="str">
            <v>Mielec</v>
          </cell>
        </row>
        <row r="84">
          <cell r="A84" t="str">
            <v>K0032</v>
          </cell>
          <cell r="B84" t="str">
            <v>Paweł</v>
          </cell>
          <cell r="C84" t="str">
            <v>KACZOR</v>
          </cell>
          <cell r="D84" t="str">
            <v>Nowa Dęba</v>
          </cell>
        </row>
        <row r="85">
          <cell r="A85" t="str">
            <v>K0033</v>
          </cell>
          <cell r="B85" t="str">
            <v>Marek</v>
          </cell>
          <cell r="C85" t="str">
            <v>KAMIŃSKI</v>
          </cell>
          <cell r="D85" t="str">
            <v>Nowa Dęba</v>
          </cell>
        </row>
        <row r="86">
          <cell r="A86" t="str">
            <v>K0034</v>
          </cell>
          <cell r="B86" t="str">
            <v>Marcin</v>
          </cell>
          <cell r="C86" t="str">
            <v>KOWALIK</v>
          </cell>
          <cell r="D86" t="str">
            <v>Rzeszów</v>
          </cell>
        </row>
        <row r="87">
          <cell r="A87" t="str">
            <v>L0001</v>
          </cell>
          <cell r="B87" t="str">
            <v>Marek</v>
          </cell>
          <cell r="C87" t="str">
            <v>LEŚ</v>
          </cell>
          <cell r="D87" t="str">
            <v>Mielec</v>
          </cell>
        </row>
        <row r="88">
          <cell r="A88" t="str">
            <v>L0002</v>
          </cell>
          <cell r="B88" t="str">
            <v>Tomasz</v>
          </cell>
          <cell r="C88" t="str">
            <v>LEGENY</v>
          </cell>
          <cell r="D88" t="str">
            <v>Jarosław</v>
          </cell>
        </row>
        <row r="89">
          <cell r="A89" t="str">
            <v>Ł0001</v>
          </cell>
          <cell r="B89" t="str">
            <v>Łukasz</v>
          </cell>
          <cell r="C89" t="str">
            <v>ŁABUZ</v>
          </cell>
          <cell r="D89" t="str">
            <v>Szczucin</v>
          </cell>
        </row>
        <row r="90">
          <cell r="A90" t="str">
            <v>Ł0002</v>
          </cell>
          <cell r="B90" t="str">
            <v>Wojciech</v>
          </cell>
          <cell r="C90" t="str">
            <v>ŁABUZ</v>
          </cell>
          <cell r="D90" t="str">
            <v>Szczucin</v>
          </cell>
        </row>
        <row r="91">
          <cell r="A91" t="str">
            <v>Ł0003</v>
          </cell>
          <cell r="B91" t="str">
            <v>Piotr</v>
          </cell>
          <cell r="C91" t="str">
            <v>ŁUKASIK</v>
          </cell>
          <cell r="D91" t="str">
            <v>Gorlice</v>
          </cell>
        </row>
        <row r="92">
          <cell r="A92" t="str">
            <v>M0001</v>
          </cell>
          <cell r="B92" t="str">
            <v>Paulina</v>
          </cell>
          <cell r="C92" t="str">
            <v>MACIEJEWSKA</v>
          </cell>
          <cell r="D92" t="str">
            <v>Tarnów</v>
          </cell>
        </row>
        <row r="93">
          <cell r="A93" t="str">
            <v>M0002</v>
          </cell>
          <cell r="B93" t="str">
            <v>Michał</v>
          </cell>
          <cell r="C93" t="str">
            <v>MAGDZIAK</v>
          </cell>
          <cell r="D93" t="str">
            <v>Szczucin</v>
          </cell>
        </row>
        <row r="94">
          <cell r="A94" t="str">
            <v>M0003</v>
          </cell>
          <cell r="B94" t="str">
            <v>Patrycja</v>
          </cell>
          <cell r="C94" t="str">
            <v>MAKOCKA</v>
          </cell>
          <cell r="D94" t="str">
            <v>Mielec</v>
          </cell>
        </row>
        <row r="95">
          <cell r="A95" t="str">
            <v>M0004</v>
          </cell>
          <cell r="B95" t="str">
            <v>Antoni</v>
          </cell>
          <cell r="C95" t="str">
            <v>MALCHAREK</v>
          </cell>
          <cell r="D95" t="str">
            <v>Nowa Dęba</v>
          </cell>
        </row>
        <row r="96">
          <cell r="A96" t="str">
            <v>M0005</v>
          </cell>
          <cell r="B96" t="str">
            <v>Piotr</v>
          </cell>
          <cell r="C96" t="str">
            <v>MALIK</v>
          </cell>
          <cell r="D96" t="str">
            <v>Tarnobrzeg</v>
          </cell>
        </row>
        <row r="97">
          <cell r="A97" t="str">
            <v>M0006</v>
          </cell>
          <cell r="B97" t="str">
            <v>Szymon</v>
          </cell>
          <cell r="C97" t="str">
            <v>MALIK</v>
          </cell>
          <cell r="D97" t="str">
            <v>Tarnobrzeg</v>
          </cell>
        </row>
        <row r="98">
          <cell r="A98" t="str">
            <v>M0007</v>
          </cell>
          <cell r="B98" t="str">
            <v>Maciej</v>
          </cell>
          <cell r="C98" t="str">
            <v>MATUSIK</v>
          </cell>
          <cell r="D98" t="str">
            <v>Ropczyce</v>
          </cell>
        </row>
        <row r="99">
          <cell r="A99" t="str">
            <v>M0008</v>
          </cell>
          <cell r="B99" t="str">
            <v>Tadeusz</v>
          </cell>
          <cell r="C99" t="str">
            <v>MICHALIK</v>
          </cell>
          <cell r="D99" t="str">
            <v>Tarnów</v>
          </cell>
        </row>
        <row r="100">
          <cell r="A100" t="str">
            <v>M0009</v>
          </cell>
          <cell r="B100" t="str">
            <v>Robert</v>
          </cell>
          <cell r="C100" t="str">
            <v>MIKA</v>
          </cell>
          <cell r="D100" t="str">
            <v>Gorlice</v>
          </cell>
        </row>
        <row r="101">
          <cell r="A101" t="str">
            <v>M0010</v>
          </cell>
          <cell r="B101" t="str">
            <v>Jarosław</v>
          </cell>
          <cell r="C101" t="str">
            <v>MIOTŁA</v>
          </cell>
          <cell r="D101" t="str">
            <v>Mielec</v>
          </cell>
        </row>
        <row r="102">
          <cell r="A102" t="str">
            <v>M0011</v>
          </cell>
          <cell r="B102" t="str">
            <v>Karol</v>
          </cell>
          <cell r="C102" t="str">
            <v>MĄCZYŃSKI</v>
          </cell>
          <cell r="D102" t="str">
            <v>Mielec</v>
          </cell>
        </row>
        <row r="103">
          <cell r="A103" t="str">
            <v>M0012</v>
          </cell>
          <cell r="B103" t="str">
            <v>Jarosław</v>
          </cell>
          <cell r="C103" t="str">
            <v>MAZUR</v>
          </cell>
          <cell r="D103" t="str">
            <v>Mielec</v>
          </cell>
        </row>
        <row r="104">
          <cell r="A104" t="str">
            <v>M0013</v>
          </cell>
          <cell r="B104" t="str">
            <v>Mariusz</v>
          </cell>
          <cell r="C104" t="str">
            <v>MASZTAFIAK</v>
          </cell>
          <cell r="D104" t="str">
            <v>Gorlice</v>
          </cell>
        </row>
        <row r="105">
          <cell r="A105" t="str">
            <v>M0014</v>
          </cell>
          <cell r="B105" t="str">
            <v>Dariusz</v>
          </cell>
          <cell r="C105" t="str">
            <v>MAZUR</v>
          </cell>
          <cell r="D105" t="str">
            <v>Mielec</v>
          </cell>
        </row>
        <row r="106">
          <cell r="A106" t="str">
            <v>M0015</v>
          </cell>
          <cell r="B106" t="str">
            <v>Michał</v>
          </cell>
          <cell r="C106" t="str">
            <v>MROZEK</v>
          </cell>
          <cell r="D106" t="str">
            <v>Gorlice</v>
          </cell>
        </row>
        <row r="107">
          <cell r="A107" t="str">
            <v>M0016</v>
          </cell>
          <cell r="B107" t="str">
            <v>Rafał</v>
          </cell>
          <cell r="C107" t="str">
            <v>MARKOWICZ</v>
          </cell>
          <cell r="D107" t="str">
            <v>Gorlice</v>
          </cell>
        </row>
        <row r="108">
          <cell r="A108" t="str">
            <v>M0017</v>
          </cell>
          <cell r="B108" t="str">
            <v>Małgorzata</v>
          </cell>
          <cell r="C108" t="str">
            <v>MROZEK</v>
          </cell>
          <cell r="D108" t="str">
            <v>Gorlice</v>
          </cell>
        </row>
        <row r="109">
          <cell r="A109" t="str">
            <v>M0018</v>
          </cell>
          <cell r="B109" t="str">
            <v>Karolina</v>
          </cell>
          <cell r="C109" t="str">
            <v>MORDAWSKA</v>
          </cell>
          <cell r="D109" t="str">
            <v>Gorlice</v>
          </cell>
        </row>
        <row r="110">
          <cell r="A110" t="str">
            <v>M0019</v>
          </cell>
          <cell r="B110" t="str">
            <v>Grzegorz</v>
          </cell>
          <cell r="C110" t="str">
            <v>MAC </v>
          </cell>
          <cell r="D110" t="str">
            <v>Rzeszów</v>
          </cell>
        </row>
        <row r="111">
          <cell r="A111" t="str">
            <v>M0020</v>
          </cell>
          <cell r="B111" t="str">
            <v>Tomasz</v>
          </cell>
          <cell r="C111" t="str">
            <v>MALCHAREK</v>
          </cell>
          <cell r="D111" t="str">
            <v>New Jersey</v>
          </cell>
        </row>
        <row r="112">
          <cell r="A112" t="str">
            <v>M0021</v>
          </cell>
          <cell r="B112" t="str">
            <v>Jerzy</v>
          </cell>
          <cell r="C112" t="str">
            <v>MISIAK</v>
          </cell>
          <cell r="D112" t="str">
            <v>Połaniec</v>
          </cell>
        </row>
        <row r="113">
          <cell r="A113" t="str">
            <v>M0022</v>
          </cell>
          <cell r="B113" t="str">
            <v>Paweł </v>
          </cell>
          <cell r="C113" t="str">
            <v>MOŹDZIERZ</v>
          </cell>
          <cell r="D113" t="str">
            <v>Gorlice</v>
          </cell>
        </row>
        <row r="114">
          <cell r="A114" t="str">
            <v>M0023</v>
          </cell>
          <cell r="B114" t="str">
            <v>Tymoteusz</v>
          </cell>
          <cell r="C114" t="str">
            <v>MALIK</v>
          </cell>
          <cell r="D114" t="str">
            <v>Tarnobrzeg</v>
          </cell>
        </row>
        <row r="115">
          <cell r="A115" t="str">
            <v>N0001</v>
          </cell>
          <cell r="B115" t="str">
            <v>Andrzej</v>
          </cell>
          <cell r="C115" t="str">
            <v>NOSEK</v>
          </cell>
          <cell r="D115" t="str">
            <v>Tarnów</v>
          </cell>
        </row>
        <row r="116">
          <cell r="A116" t="str">
            <v>N0002</v>
          </cell>
          <cell r="B116" t="str">
            <v>Robert</v>
          </cell>
          <cell r="C116" t="str">
            <v>NOWAK</v>
          </cell>
          <cell r="D116" t="str">
            <v>Mielec</v>
          </cell>
        </row>
        <row r="117">
          <cell r="A117" t="str">
            <v>N0003</v>
          </cell>
          <cell r="B117" t="str">
            <v>Mateusz</v>
          </cell>
          <cell r="C117" t="str">
            <v>NOWAK</v>
          </cell>
          <cell r="D117" t="str">
            <v>Mielec</v>
          </cell>
        </row>
        <row r="118">
          <cell r="A118" t="str">
            <v>O0001</v>
          </cell>
          <cell r="B118" t="str">
            <v>Krzysztof</v>
          </cell>
          <cell r="C118" t="str">
            <v>OSTROWSKI</v>
          </cell>
          <cell r="D118" t="str">
            <v>Mielec</v>
          </cell>
        </row>
        <row r="119">
          <cell r="A119" t="str">
            <v>O0002</v>
          </cell>
          <cell r="B119" t="str">
            <v>Justyna</v>
          </cell>
          <cell r="C119" t="str">
            <v>OZGA</v>
          </cell>
          <cell r="D119" t="str">
            <v>Mielec</v>
          </cell>
        </row>
        <row r="120">
          <cell r="A120" t="str">
            <v>O0003</v>
          </cell>
          <cell r="B120" t="str">
            <v>Aleksandra</v>
          </cell>
          <cell r="C120" t="str">
            <v>OŻÓG</v>
          </cell>
          <cell r="D120" t="str">
            <v>Sokołów Młp.</v>
          </cell>
        </row>
        <row r="121">
          <cell r="A121" t="str">
            <v>P0001</v>
          </cell>
          <cell r="B121" t="str">
            <v>Dagmara</v>
          </cell>
          <cell r="C121" t="str">
            <v>PEŁKA</v>
          </cell>
          <cell r="D121" t="str">
            <v>Nowa Dęba</v>
          </cell>
        </row>
        <row r="122">
          <cell r="A122" t="str">
            <v>P0002</v>
          </cell>
          <cell r="B122" t="str">
            <v>Dariusz</v>
          </cell>
          <cell r="C122" t="str">
            <v>PIEKARZ</v>
          </cell>
          <cell r="D122" t="str">
            <v>Gorlice</v>
          </cell>
        </row>
        <row r="123">
          <cell r="A123" t="str">
            <v>P0003</v>
          </cell>
          <cell r="B123" t="str">
            <v>Łukasz</v>
          </cell>
          <cell r="C123" t="str">
            <v>PIENIĄŻEK</v>
          </cell>
          <cell r="D123" t="str">
            <v>Rzeszów</v>
          </cell>
        </row>
        <row r="124">
          <cell r="A124" t="str">
            <v>P0004</v>
          </cell>
          <cell r="B124" t="str">
            <v>Paweł</v>
          </cell>
          <cell r="C124" t="str">
            <v>POCIASK</v>
          </cell>
          <cell r="D124" t="str">
            <v>Ropczyce</v>
          </cell>
        </row>
        <row r="125">
          <cell r="A125" t="str">
            <v>P0005</v>
          </cell>
          <cell r="B125" t="str">
            <v>Michał</v>
          </cell>
          <cell r="C125" t="str">
            <v>POCZĄTEK</v>
          </cell>
          <cell r="D125" t="str">
            <v>Szczucin</v>
          </cell>
        </row>
        <row r="126">
          <cell r="A126" t="str">
            <v>P0006</v>
          </cell>
          <cell r="B126" t="str">
            <v>Daniel</v>
          </cell>
          <cell r="C126" t="str">
            <v>PODLASIŃSKI</v>
          </cell>
          <cell r="D126" t="str">
            <v>Szczucin</v>
          </cell>
        </row>
        <row r="127">
          <cell r="A127" t="str">
            <v>P0007</v>
          </cell>
          <cell r="B127" t="str">
            <v>Piotr</v>
          </cell>
          <cell r="C127" t="str">
            <v>POŁOWNIAK</v>
          </cell>
          <cell r="D127" t="str">
            <v>Tarnobrzeg</v>
          </cell>
        </row>
        <row r="128">
          <cell r="A128" t="str">
            <v>P0008</v>
          </cell>
          <cell r="B128" t="str">
            <v>Dawid</v>
          </cell>
          <cell r="C128" t="str">
            <v>PTAK</v>
          </cell>
          <cell r="D128" t="str">
            <v>Tarnów</v>
          </cell>
        </row>
        <row r="129">
          <cell r="A129" t="str">
            <v>P0009</v>
          </cell>
          <cell r="B129" t="str">
            <v>Michał</v>
          </cell>
          <cell r="C129" t="str">
            <v>PRZYBYŁO</v>
          </cell>
          <cell r="D129" t="str">
            <v>Gorlice</v>
          </cell>
        </row>
        <row r="130">
          <cell r="A130" t="str">
            <v>P0010</v>
          </cell>
          <cell r="B130" t="str">
            <v>Dawid</v>
          </cell>
          <cell r="C130" t="str">
            <v>PIĄTEK</v>
          </cell>
          <cell r="D130" t="str">
            <v>Mielec</v>
          </cell>
        </row>
        <row r="131">
          <cell r="A131" t="str">
            <v>P0011</v>
          </cell>
          <cell r="B131" t="str">
            <v>Krzysztof</v>
          </cell>
          <cell r="C131" t="str">
            <v>PIECHOTA</v>
          </cell>
          <cell r="D131" t="str">
            <v>Mielec</v>
          </cell>
        </row>
        <row r="132">
          <cell r="A132" t="str">
            <v>P0012</v>
          </cell>
          <cell r="B132" t="str">
            <v>Tomasz</v>
          </cell>
          <cell r="C132" t="str">
            <v>PRZYBYŁO</v>
          </cell>
          <cell r="D132" t="str">
            <v>Gorlice</v>
          </cell>
        </row>
        <row r="133">
          <cell r="A133" t="str">
            <v>P0013</v>
          </cell>
          <cell r="B133" t="str">
            <v>Bartosz</v>
          </cell>
          <cell r="C133" t="str">
            <v>PIEKARZ</v>
          </cell>
          <cell r="D133" t="str">
            <v>Gorlice</v>
          </cell>
        </row>
        <row r="134">
          <cell r="A134" t="str">
            <v>P0014</v>
          </cell>
          <cell r="B134" t="str">
            <v>Jolanta</v>
          </cell>
          <cell r="C134" t="str">
            <v>PADUCH</v>
          </cell>
          <cell r="D134" t="str">
            <v>Nowa Dęba</v>
          </cell>
        </row>
        <row r="135">
          <cell r="A135" t="str">
            <v>P0015</v>
          </cell>
          <cell r="B135" t="str">
            <v>Jacek</v>
          </cell>
          <cell r="C135" t="str">
            <v>PĘKACKI</v>
          </cell>
          <cell r="D135" t="str">
            <v>Żyrardów</v>
          </cell>
        </row>
        <row r="136">
          <cell r="A136" t="str">
            <v>P0016</v>
          </cell>
          <cell r="B136" t="str">
            <v>Maciej</v>
          </cell>
          <cell r="C136" t="str">
            <v>PATRYN</v>
          </cell>
          <cell r="D136" t="str">
            <v>Strzyżów</v>
          </cell>
        </row>
        <row r="137">
          <cell r="A137" t="str">
            <v>P0017</v>
          </cell>
          <cell r="B137" t="str">
            <v>Anna</v>
          </cell>
          <cell r="C137" t="str">
            <v>PIWODA</v>
          </cell>
          <cell r="D137" t="str">
            <v>Jarosław</v>
          </cell>
        </row>
        <row r="138">
          <cell r="A138" t="str">
            <v>P0018</v>
          </cell>
          <cell r="B138" t="str">
            <v>Kamil</v>
          </cell>
          <cell r="C138" t="str">
            <v>PŁOCH</v>
          </cell>
          <cell r="D138" t="str">
            <v>Widełka</v>
          </cell>
        </row>
        <row r="139">
          <cell r="A139" t="str">
            <v>P0019</v>
          </cell>
          <cell r="B139" t="str">
            <v>Patryk</v>
          </cell>
          <cell r="C139" t="str">
            <v>PIETRAS</v>
          </cell>
          <cell r="D139" t="str">
            <v>Mielec</v>
          </cell>
        </row>
        <row r="140">
          <cell r="A140" t="str">
            <v>R0001</v>
          </cell>
          <cell r="B140" t="str">
            <v>Andrzej</v>
          </cell>
          <cell r="C140" t="str">
            <v>RACHWAŁ</v>
          </cell>
          <cell r="D140" t="str">
            <v>Straszęcin</v>
          </cell>
        </row>
        <row r="141">
          <cell r="A141" t="str">
            <v>R0002</v>
          </cell>
          <cell r="B141" t="str">
            <v>Katarzyna</v>
          </cell>
          <cell r="C141" t="str">
            <v>RUMAK</v>
          </cell>
          <cell r="D141" t="str">
            <v>Widełka</v>
          </cell>
        </row>
        <row r="142">
          <cell r="A142" t="str">
            <v>R0003</v>
          </cell>
          <cell r="B142" t="str">
            <v>Dawid</v>
          </cell>
          <cell r="C142" t="str">
            <v>RZĄSA</v>
          </cell>
          <cell r="D142" t="str">
            <v>Nowa Dęba</v>
          </cell>
        </row>
        <row r="143">
          <cell r="A143" t="str">
            <v>R0004</v>
          </cell>
          <cell r="B143" t="str">
            <v>Dariusz</v>
          </cell>
          <cell r="C143" t="str">
            <v>RACHWAŁ</v>
          </cell>
          <cell r="D143" t="str">
            <v>Ropczyce</v>
          </cell>
        </row>
        <row r="144">
          <cell r="A144" t="str">
            <v>R0005</v>
          </cell>
          <cell r="B144" t="str">
            <v>Piotr</v>
          </cell>
          <cell r="C144" t="str">
            <v>REMBISZ</v>
          </cell>
          <cell r="D144" t="str">
            <v>Mielec</v>
          </cell>
        </row>
        <row r="145">
          <cell r="A145" t="str">
            <v>R0006</v>
          </cell>
          <cell r="B145" t="str">
            <v>Kasper</v>
          </cell>
          <cell r="C145" t="str">
            <v>RADOŃ</v>
          </cell>
          <cell r="D145" t="str">
            <v>Mielec</v>
          </cell>
        </row>
        <row r="146">
          <cell r="A146" t="str">
            <v>R0007</v>
          </cell>
          <cell r="B146" t="str">
            <v>Daria</v>
          </cell>
          <cell r="C146" t="str">
            <v>RYBIŃSKA</v>
          </cell>
          <cell r="D146" t="str">
            <v>Mielec</v>
          </cell>
        </row>
        <row r="147">
          <cell r="A147" t="str">
            <v>R0008</v>
          </cell>
          <cell r="B147" t="str">
            <v>Dawid</v>
          </cell>
          <cell r="C147" t="str">
            <v>RZESZUTEK</v>
          </cell>
          <cell r="D147" t="str">
            <v>Mielec</v>
          </cell>
        </row>
        <row r="148">
          <cell r="A148" t="str">
            <v>R0009</v>
          </cell>
          <cell r="B148" t="str">
            <v>Konrad</v>
          </cell>
          <cell r="C148" t="str">
            <v>ROŻNIAŁ</v>
          </cell>
          <cell r="D148" t="str">
            <v>Mielec</v>
          </cell>
        </row>
        <row r="149">
          <cell r="A149" t="str">
            <v>R0010</v>
          </cell>
          <cell r="B149" t="str">
            <v>Marek</v>
          </cell>
          <cell r="C149" t="str">
            <v>REGUŁA</v>
          </cell>
          <cell r="D149" t="str">
            <v>Mielec</v>
          </cell>
        </row>
        <row r="150">
          <cell r="A150" t="str">
            <v>R0011</v>
          </cell>
          <cell r="B150" t="str">
            <v>Urszula</v>
          </cell>
          <cell r="C150" t="str">
            <v>RUMAK</v>
          </cell>
          <cell r="D150" t="str">
            <v>Widełka</v>
          </cell>
        </row>
        <row r="151">
          <cell r="A151" t="str">
            <v>R0012</v>
          </cell>
          <cell r="B151" t="str">
            <v>Marek</v>
          </cell>
          <cell r="C151" t="str">
            <v>RZĄSA</v>
          </cell>
          <cell r="D151" t="str">
            <v>Nowa Dęba</v>
          </cell>
        </row>
        <row r="152">
          <cell r="A152" t="str">
            <v>S0001</v>
          </cell>
          <cell r="B152" t="str">
            <v>Justyna</v>
          </cell>
          <cell r="C152" t="str">
            <v>SABAT</v>
          </cell>
          <cell r="D152" t="str">
            <v>Sokołów Młp.</v>
          </cell>
        </row>
        <row r="153">
          <cell r="A153" t="str">
            <v>S0002</v>
          </cell>
          <cell r="B153" t="str">
            <v>Dominik</v>
          </cell>
          <cell r="C153" t="str">
            <v>SADO</v>
          </cell>
          <cell r="D153" t="str">
            <v>Ropczyce</v>
          </cell>
        </row>
        <row r="154">
          <cell r="A154" t="str">
            <v>S0003</v>
          </cell>
          <cell r="B154" t="str">
            <v>Sebastian</v>
          </cell>
          <cell r="C154" t="str">
            <v>SADO</v>
          </cell>
          <cell r="D154" t="str">
            <v>Ropczyce</v>
          </cell>
        </row>
        <row r="155">
          <cell r="A155" t="str">
            <v>S0004</v>
          </cell>
          <cell r="B155" t="str">
            <v>Łukasz</v>
          </cell>
          <cell r="C155" t="str">
            <v>SAŁEK</v>
          </cell>
          <cell r="D155" t="str">
            <v>Tarnobrzeg</v>
          </cell>
        </row>
        <row r="156">
          <cell r="A156" t="str">
            <v>S0005</v>
          </cell>
          <cell r="B156" t="str">
            <v>Adam</v>
          </cell>
          <cell r="C156" t="str">
            <v>SIDOR</v>
          </cell>
          <cell r="D156" t="str">
            <v>Sokołów Młp.</v>
          </cell>
        </row>
        <row r="157">
          <cell r="A157" t="str">
            <v>S0006</v>
          </cell>
          <cell r="B157" t="str">
            <v>Katarzyna</v>
          </cell>
          <cell r="C157" t="str">
            <v>SIERADZKA</v>
          </cell>
          <cell r="D157" t="str">
            <v>Rzeszów</v>
          </cell>
        </row>
        <row r="158">
          <cell r="A158" t="str">
            <v>S0007</v>
          </cell>
          <cell r="B158" t="str">
            <v>Wojciech</v>
          </cell>
          <cell r="C158" t="str">
            <v>SITKO</v>
          </cell>
          <cell r="D158" t="str">
            <v>Szczucin</v>
          </cell>
        </row>
        <row r="159">
          <cell r="A159" t="str">
            <v>S0008</v>
          </cell>
          <cell r="B159" t="str">
            <v>Agnieszka</v>
          </cell>
          <cell r="C159" t="str">
            <v>SKOWROŃSKA</v>
          </cell>
          <cell r="D159" t="str">
            <v>Nowa Dęba</v>
          </cell>
        </row>
        <row r="160">
          <cell r="A160" t="str">
            <v>S0009</v>
          </cell>
          <cell r="B160" t="str">
            <v>Piotr</v>
          </cell>
          <cell r="C160" t="str">
            <v>SKRZEK</v>
          </cell>
          <cell r="D160" t="str">
            <v>Straszęcin</v>
          </cell>
        </row>
        <row r="161">
          <cell r="A161" t="str">
            <v>S0010</v>
          </cell>
          <cell r="B161" t="str">
            <v>Rafał</v>
          </cell>
          <cell r="C161" t="str">
            <v>SKRZEK</v>
          </cell>
          <cell r="D161" t="str">
            <v>Straszęcin</v>
          </cell>
        </row>
        <row r="162">
          <cell r="A162" t="str">
            <v>S0011</v>
          </cell>
          <cell r="B162" t="str">
            <v>Szymon</v>
          </cell>
          <cell r="C162" t="str">
            <v>SOBOŃ</v>
          </cell>
          <cell r="D162" t="str">
            <v>Sokołów Młp.</v>
          </cell>
        </row>
        <row r="163">
          <cell r="A163" t="str">
            <v>S0012</v>
          </cell>
          <cell r="B163" t="str">
            <v>Mateusz</v>
          </cell>
          <cell r="C163" t="str">
            <v>SOŁTYS</v>
          </cell>
          <cell r="D163" t="str">
            <v>Szczucin</v>
          </cell>
        </row>
        <row r="164">
          <cell r="A164" t="str">
            <v>S0013</v>
          </cell>
          <cell r="B164" t="str">
            <v>Jacek</v>
          </cell>
          <cell r="C164" t="str">
            <v>STAWARZ</v>
          </cell>
          <cell r="D164" t="str">
            <v>Uppsala</v>
          </cell>
        </row>
        <row r="165">
          <cell r="A165" t="str">
            <v>S0014</v>
          </cell>
          <cell r="B165" t="str">
            <v>Łukasz</v>
          </cell>
          <cell r="C165" t="str">
            <v>STOCHLIŃSKI</v>
          </cell>
          <cell r="D165" t="str">
            <v>Szczucin</v>
          </cell>
        </row>
        <row r="166">
          <cell r="A166" t="str">
            <v>S0015</v>
          </cell>
          <cell r="B166" t="str">
            <v>Alicja</v>
          </cell>
          <cell r="C166" t="str">
            <v>STYSŁAWSKA</v>
          </cell>
          <cell r="D166" t="str">
            <v>Szczucin</v>
          </cell>
        </row>
        <row r="167">
          <cell r="A167" t="str">
            <v>S0016</v>
          </cell>
          <cell r="B167" t="str">
            <v>Piotr</v>
          </cell>
          <cell r="C167" t="str">
            <v>SUROWIEC</v>
          </cell>
          <cell r="D167" t="str">
            <v>Widełka</v>
          </cell>
        </row>
        <row r="168">
          <cell r="A168" t="str">
            <v>S0017</v>
          </cell>
          <cell r="B168" t="str">
            <v>Kacper</v>
          </cell>
          <cell r="C168" t="str">
            <v>SZYMCZYK</v>
          </cell>
          <cell r="D168" t="str">
            <v>Mielec</v>
          </cell>
        </row>
        <row r="169">
          <cell r="A169" t="str">
            <v>S0018</v>
          </cell>
          <cell r="B169" t="str">
            <v>Wojciech</v>
          </cell>
          <cell r="C169" t="str">
            <v>SMAGAŁA</v>
          </cell>
          <cell r="D169" t="str">
            <v>Ropczyce</v>
          </cell>
        </row>
        <row r="170">
          <cell r="A170" t="str">
            <v>S0019</v>
          </cell>
          <cell r="B170" t="str">
            <v>Katarzyna </v>
          </cell>
          <cell r="C170" t="str">
            <v>SŁOMBA</v>
          </cell>
          <cell r="D170" t="str">
            <v>Mielec</v>
          </cell>
        </row>
        <row r="171">
          <cell r="A171" t="str">
            <v>S0020</v>
          </cell>
          <cell r="B171" t="str">
            <v>Mariusz</v>
          </cell>
          <cell r="C171" t="str">
            <v>SŁOMBA</v>
          </cell>
          <cell r="D171" t="str">
            <v>Mielec</v>
          </cell>
        </row>
        <row r="172">
          <cell r="A172" t="str">
            <v>S0021</v>
          </cell>
          <cell r="B172" t="str">
            <v>Karolina</v>
          </cell>
          <cell r="C172" t="str">
            <v>SMOŁKOWICZ</v>
          </cell>
          <cell r="D172" t="str">
            <v>Gorlice</v>
          </cell>
        </row>
        <row r="173">
          <cell r="A173" t="str">
            <v>S0022</v>
          </cell>
          <cell r="B173" t="str">
            <v>Maciej </v>
          </cell>
          <cell r="C173" t="str">
            <v>SZUREK</v>
          </cell>
          <cell r="D173" t="str">
            <v>Gorlice</v>
          </cell>
        </row>
        <row r="174">
          <cell r="A174" t="str">
            <v>S0023</v>
          </cell>
          <cell r="B174" t="str">
            <v>Dariusz</v>
          </cell>
          <cell r="C174" t="str">
            <v>STAŃKO</v>
          </cell>
          <cell r="D174" t="str">
            <v>Przemyśl</v>
          </cell>
        </row>
        <row r="175">
          <cell r="A175" t="str">
            <v>S0024</v>
          </cell>
          <cell r="B175" t="str">
            <v>Grzegorz</v>
          </cell>
          <cell r="C175" t="str">
            <v>STAŃKO</v>
          </cell>
          <cell r="D175" t="str">
            <v>Przemyśl</v>
          </cell>
        </row>
        <row r="176">
          <cell r="A176" t="str">
            <v>S0025</v>
          </cell>
          <cell r="B176" t="str">
            <v>Wojciech</v>
          </cell>
          <cell r="C176" t="str">
            <v>STAŃKO</v>
          </cell>
          <cell r="D176" t="str">
            <v>Przemyśl</v>
          </cell>
        </row>
        <row r="177">
          <cell r="A177" t="str">
            <v>S0026</v>
          </cell>
          <cell r="B177" t="str">
            <v>Mateusz</v>
          </cell>
          <cell r="C177" t="str">
            <v>STANISZ</v>
          </cell>
          <cell r="D177" t="str">
            <v>Ropczyce</v>
          </cell>
        </row>
        <row r="178">
          <cell r="A178" t="str">
            <v>S0027</v>
          </cell>
          <cell r="B178" t="str">
            <v>Wiktor</v>
          </cell>
          <cell r="C178" t="str">
            <v>SALAMON</v>
          </cell>
          <cell r="D178" t="str">
            <v>Tarnobrzeg</v>
          </cell>
        </row>
        <row r="179">
          <cell r="A179" t="str">
            <v>Ś0001</v>
          </cell>
          <cell r="B179" t="str">
            <v>Jakub</v>
          </cell>
          <cell r="C179" t="str">
            <v>ŚLIWA</v>
          </cell>
          <cell r="D179" t="str">
            <v>Gorlice</v>
          </cell>
        </row>
        <row r="180">
          <cell r="A180" t="str">
            <v>Ś0002</v>
          </cell>
          <cell r="B180" t="str">
            <v>Ernest</v>
          </cell>
          <cell r="C180" t="str">
            <v>ŚCIPIEŃ</v>
          </cell>
          <cell r="D180" t="str">
            <v>Nowa Dęba</v>
          </cell>
        </row>
        <row r="181">
          <cell r="A181" t="str">
            <v>T0001</v>
          </cell>
          <cell r="B181" t="str">
            <v>Agata</v>
          </cell>
          <cell r="C181" t="str">
            <v>TARASZKA</v>
          </cell>
          <cell r="D181" t="str">
            <v>Nowa Dęba</v>
          </cell>
        </row>
        <row r="182">
          <cell r="A182" t="str">
            <v>T0002</v>
          </cell>
          <cell r="B182" t="str">
            <v>Mariusz</v>
          </cell>
          <cell r="C182" t="str">
            <v>TOCHOWICZ</v>
          </cell>
          <cell r="D182" t="str">
            <v>Tarnów</v>
          </cell>
        </row>
        <row r="183">
          <cell r="A183" t="str">
            <v>T0003</v>
          </cell>
          <cell r="B183" t="str">
            <v>Izabela</v>
          </cell>
          <cell r="C183" t="str">
            <v>TOMCZYK</v>
          </cell>
          <cell r="D183" t="str">
            <v>Nowa Dęba</v>
          </cell>
        </row>
        <row r="184">
          <cell r="A184" t="str">
            <v>T0004</v>
          </cell>
          <cell r="B184" t="str">
            <v>Grzegorz</v>
          </cell>
          <cell r="C184" t="str">
            <v>TALAR</v>
          </cell>
          <cell r="D184" t="str">
            <v>Szczucin</v>
          </cell>
        </row>
        <row r="185">
          <cell r="A185" t="str">
            <v>U0001</v>
          </cell>
          <cell r="B185" t="str">
            <v>Przemysław</v>
          </cell>
          <cell r="C185" t="str">
            <v>URBAN</v>
          </cell>
          <cell r="D185" t="str">
            <v>Rzeszów</v>
          </cell>
        </row>
        <row r="186">
          <cell r="A186" t="str">
            <v>U0002</v>
          </cell>
          <cell r="B186" t="str">
            <v>Tomasz</v>
          </cell>
          <cell r="C186" t="str">
            <v>URBANIK</v>
          </cell>
          <cell r="D186" t="str">
            <v>Gorlice</v>
          </cell>
        </row>
        <row r="187">
          <cell r="A187" t="str">
            <v>W0001</v>
          </cell>
          <cell r="B187" t="str">
            <v>Mariusz</v>
          </cell>
          <cell r="C187" t="str">
            <v>WILCZAK</v>
          </cell>
          <cell r="D187" t="str">
            <v>Sokołów Młp.</v>
          </cell>
        </row>
        <row r="188">
          <cell r="A188" t="str">
            <v>W0002</v>
          </cell>
          <cell r="B188" t="str">
            <v>Dariusz</v>
          </cell>
          <cell r="C188" t="str">
            <v>WILK</v>
          </cell>
          <cell r="D188" t="str">
            <v>Kolbuszowa</v>
          </cell>
        </row>
        <row r="189">
          <cell r="A189" t="str">
            <v>W0003</v>
          </cell>
          <cell r="B189" t="str">
            <v>Krystian</v>
          </cell>
          <cell r="C189" t="str">
            <v>WILK</v>
          </cell>
          <cell r="D189" t="str">
            <v>Mielec</v>
          </cell>
        </row>
        <row r="190">
          <cell r="A190" t="str">
            <v>W0004</v>
          </cell>
          <cell r="B190" t="str">
            <v>Michał</v>
          </cell>
          <cell r="C190" t="str">
            <v>WIĄCEK</v>
          </cell>
          <cell r="D190" t="str">
            <v>Mielec</v>
          </cell>
        </row>
        <row r="191">
          <cell r="A191" t="str">
            <v>W0005</v>
          </cell>
          <cell r="B191" t="str">
            <v>Sebastian</v>
          </cell>
          <cell r="C191" t="str">
            <v>WERON</v>
          </cell>
          <cell r="D191" t="str">
            <v>Gorlice</v>
          </cell>
        </row>
        <row r="192">
          <cell r="A192" t="str">
            <v>W0006</v>
          </cell>
          <cell r="B192" t="str">
            <v>Grażyna</v>
          </cell>
          <cell r="C192" t="str">
            <v>WILCZEWSKA</v>
          </cell>
          <cell r="D192" t="str">
            <v>Strzyżów</v>
          </cell>
        </row>
        <row r="193">
          <cell r="A193" t="str">
            <v>W0007</v>
          </cell>
          <cell r="B193" t="str">
            <v>Mariusz</v>
          </cell>
          <cell r="C193" t="str">
            <v>WILCZEWSKI</v>
          </cell>
          <cell r="D193" t="str">
            <v>Strzyżów</v>
          </cell>
        </row>
        <row r="194">
          <cell r="A194" t="str">
            <v>W0008</v>
          </cell>
          <cell r="B194" t="str">
            <v>Henryk</v>
          </cell>
          <cell r="C194" t="str">
            <v>WARZECHA</v>
          </cell>
          <cell r="D194" t="str">
            <v>Kraków</v>
          </cell>
        </row>
        <row r="195">
          <cell r="A195" t="str">
            <v>W0009</v>
          </cell>
          <cell r="B195" t="str">
            <v>Karol</v>
          </cell>
          <cell r="C195" t="str">
            <v>WESOŁOWSKI</v>
          </cell>
          <cell r="D195" t="str">
            <v>Mielec</v>
          </cell>
        </row>
        <row r="196">
          <cell r="A196" t="str">
            <v>W0010</v>
          </cell>
          <cell r="B196" t="str">
            <v>Dariusz</v>
          </cell>
          <cell r="C196" t="str">
            <v>WALAS</v>
          </cell>
          <cell r="D196" t="str">
            <v>Rzeszów</v>
          </cell>
        </row>
        <row r="197">
          <cell r="A197" t="str">
            <v>Z0001</v>
          </cell>
          <cell r="B197" t="str">
            <v>Jacek</v>
          </cell>
          <cell r="C197" t="str">
            <v>ZABAWA</v>
          </cell>
          <cell r="D197" t="str">
            <v>Tarnów</v>
          </cell>
        </row>
        <row r="198">
          <cell r="A198" t="str">
            <v>Z0002</v>
          </cell>
          <cell r="B198" t="str">
            <v>Konrad</v>
          </cell>
          <cell r="C198" t="str">
            <v>ZAUCHA</v>
          </cell>
          <cell r="D198" t="str">
            <v>Straszęcin</v>
          </cell>
        </row>
        <row r="199">
          <cell r="A199" t="str">
            <v>Z0003</v>
          </cell>
          <cell r="B199" t="str">
            <v>Paweł</v>
          </cell>
          <cell r="C199" t="str">
            <v>ZAUCHA</v>
          </cell>
          <cell r="D199" t="str">
            <v>Straszęcin</v>
          </cell>
        </row>
        <row r="200">
          <cell r="A200" t="str">
            <v>Z0004</v>
          </cell>
          <cell r="B200" t="str">
            <v>Aleksandra</v>
          </cell>
          <cell r="C200" t="str">
            <v>ZUBER</v>
          </cell>
          <cell r="D200" t="str">
            <v>Widełka</v>
          </cell>
        </row>
        <row r="201">
          <cell r="A201" t="str">
            <v>Z0005</v>
          </cell>
          <cell r="B201" t="str">
            <v>Łukasz</v>
          </cell>
          <cell r="C201" t="str">
            <v>ZYGORA</v>
          </cell>
          <cell r="D201" t="str">
            <v>Widełka</v>
          </cell>
        </row>
        <row r="202">
          <cell r="A202" t="str">
            <v>Ż0001</v>
          </cell>
          <cell r="B202" t="str">
            <v>Monika</v>
          </cell>
          <cell r="C202" t="str">
            <v>ŻARÓW</v>
          </cell>
          <cell r="D202" t="str">
            <v>Nowa Dęba</v>
          </cell>
        </row>
        <row r="203">
          <cell r="A203" t="str">
            <v>Ż0002</v>
          </cell>
          <cell r="B203" t="str">
            <v>Mateusz</v>
          </cell>
          <cell r="C203" t="str">
            <v>ŻĄDŁO</v>
          </cell>
          <cell r="D203" t="str">
            <v>Kolbuszowa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26"/>
  <sheetViews>
    <sheetView tabSelected="1" zoomScalePageLayoutView="0" workbookViewId="0" topLeftCell="Q159">
      <selection activeCell="U168" sqref="U168:V168"/>
    </sheetView>
  </sheetViews>
  <sheetFormatPr defaultColWidth="9.140625" defaultRowHeight="15"/>
  <cols>
    <col min="1" max="1" width="2.00390625" style="1" hidden="1" customWidth="1"/>
    <col min="2" max="2" width="5.8515625" style="2" hidden="1" customWidth="1"/>
    <col min="3" max="3" width="8.00390625" style="2" hidden="1" customWidth="1"/>
    <col min="4" max="4" width="6.28125" style="2" hidden="1" customWidth="1"/>
    <col min="5" max="5" width="8.00390625" style="2" hidden="1" customWidth="1"/>
    <col min="6" max="6" width="5.8515625" style="2" hidden="1" customWidth="1"/>
    <col min="7" max="7" width="8.00390625" style="2" hidden="1" customWidth="1"/>
    <col min="8" max="8" width="13.140625" style="2" hidden="1" customWidth="1"/>
    <col min="9" max="9" width="16.8515625" style="2" hidden="1" customWidth="1"/>
    <col min="10" max="11" width="5.7109375" style="10" hidden="1" customWidth="1"/>
    <col min="12" max="12" width="9.28125" style="10" hidden="1" customWidth="1"/>
    <col min="13" max="13" width="22.421875" style="2" hidden="1" customWidth="1"/>
    <col min="14" max="14" width="15.140625" style="13" hidden="1" customWidth="1"/>
    <col min="15" max="16" width="2.7109375" style="10" hidden="1" customWidth="1"/>
    <col min="17" max="17" width="10.421875" style="19" customWidth="1"/>
    <col min="18" max="19" width="3.57421875" style="19" customWidth="1"/>
    <col min="20" max="20" width="3.00390625" style="19" bestFit="1" customWidth="1"/>
    <col min="21" max="21" width="47.8515625" style="19" customWidth="1"/>
    <col min="22" max="22" width="3.28125" style="19" customWidth="1"/>
    <col min="23" max="25" width="5.8515625" style="19" customWidth="1"/>
    <col min="26" max="27" width="7.57421875" style="19" bestFit="1" customWidth="1"/>
    <col min="28" max="28" width="7.57421875" style="19" customWidth="1"/>
    <col min="29" max="29" width="6.7109375" style="19" bestFit="1" customWidth="1"/>
    <col min="30" max="30" width="6.7109375" style="19" customWidth="1"/>
    <col min="31" max="31" width="6.7109375" style="17" customWidth="1"/>
    <col min="32" max="32" width="6.7109375" style="17" hidden="1" customWidth="1"/>
    <col min="33" max="33" width="3.57421875" style="17" hidden="1" customWidth="1"/>
    <col min="34" max="45" width="1.8515625" style="17" hidden="1" customWidth="1"/>
    <col min="46" max="47" width="2.00390625" style="17" hidden="1" customWidth="1"/>
    <col min="48" max="53" width="1.8515625" style="17" hidden="1" customWidth="1"/>
    <col min="54" max="55" width="3.28125" style="17" hidden="1" customWidth="1"/>
    <col min="56" max="61" width="1.8515625" style="17" hidden="1" customWidth="1"/>
    <col min="62" max="62" width="7.00390625" style="17" hidden="1" customWidth="1"/>
    <col min="63" max="63" width="9.7109375" style="18" hidden="1" customWidth="1"/>
    <col min="64" max="64" width="0" style="2" hidden="1" customWidth="1"/>
    <col min="65" max="65" width="13.140625" style="2" hidden="1" customWidth="1"/>
    <col min="66" max="67" width="0" style="2" hidden="1" customWidth="1"/>
    <col min="68" max="16384" width="9.140625" style="2" customWidth="1"/>
  </cols>
  <sheetData>
    <row r="1" spans="10:63" ht="12" customHeight="1">
      <c r="J1" s="3"/>
      <c r="K1" s="3"/>
      <c r="L1" s="3"/>
      <c r="N1" s="4"/>
      <c r="O1" s="3"/>
      <c r="P1" s="3"/>
      <c r="Q1" s="251" t="str">
        <f>IF(ISBLANK('[1]dane'!$D$2),"",'[1]dane'!$D$2)</f>
        <v>Grand Prix Victora</v>
      </c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7"/>
    </row>
    <row r="2" spans="10:63" ht="12" customHeight="1">
      <c r="J2" s="3"/>
      <c r="K2" s="3"/>
      <c r="L2" s="3"/>
      <c r="N2" s="4"/>
      <c r="O2" s="3"/>
      <c r="P2" s="3"/>
      <c r="Q2" s="251" t="str">
        <f>IF(ISBLANK('[1]dane'!$D$3),"",'[1]dane'!$D$3)</f>
        <v>Mielec,  13.11.2011 r.</v>
      </c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7"/>
    </row>
    <row r="3" spans="1:63" s="9" customFormat="1" ht="11.25" customHeight="1">
      <c r="A3" s="8"/>
      <c r="J3" s="10"/>
      <c r="K3" s="10"/>
      <c r="L3" s="10"/>
      <c r="N3" s="11"/>
      <c r="O3" s="10"/>
      <c r="P3" s="10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4"/>
    </row>
    <row r="4" spans="13:31" ht="11.25" customHeight="1">
      <c r="M4" s="15"/>
      <c r="N4" s="16" t="s">
        <v>0</v>
      </c>
      <c r="Q4" s="252" t="str">
        <f>"Gra "&amp;N4</f>
        <v>Gra Runners Up</v>
      </c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</row>
    <row r="5" ht="11.25" customHeight="1" thickBot="1"/>
    <row r="6" spans="14:45" ht="11.25" customHeight="1" thickBot="1">
      <c r="N6" s="20"/>
      <c r="O6" s="21">
        <v>1</v>
      </c>
      <c r="Q6" s="252" t="str">
        <f>"Grupa "&amp;O6&amp;"."</f>
        <v>Grupa 1.</v>
      </c>
      <c r="R6" s="252"/>
      <c r="S6" s="253"/>
      <c r="T6" s="22" t="s">
        <v>1</v>
      </c>
      <c r="U6" s="254" t="s">
        <v>2</v>
      </c>
      <c r="V6" s="255"/>
      <c r="W6" s="22">
        <v>1</v>
      </c>
      <c r="X6" s="23">
        <v>2</v>
      </c>
      <c r="Y6" s="24">
        <v>3</v>
      </c>
      <c r="Z6" s="25">
        <v>4</v>
      </c>
      <c r="AA6" s="26" t="s">
        <v>3</v>
      </c>
      <c r="AB6" s="27" t="s">
        <v>4</v>
      </c>
      <c r="AC6" s="28" t="s">
        <v>5</v>
      </c>
      <c r="AD6" s="29" t="s">
        <v>6</v>
      </c>
      <c r="AE6" s="11"/>
      <c r="AF6" s="11"/>
      <c r="AH6" s="256" t="s">
        <v>7</v>
      </c>
      <c r="AI6" s="256"/>
      <c r="AJ6" s="256"/>
      <c r="AK6" s="256"/>
      <c r="AL6" s="256"/>
      <c r="AM6" s="256"/>
      <c r="AN6" s="256" t="s">
        <v>8</v>
      </c>
      <c r="AO6" s="256"/>
      <c r="AP6" s="256"/>
      <c r="AQ6" s="256"/>
      <c r="AR6" s="256"/>
      <c r="AS6" s="256"/>
    </row>
    <row r="7" spans="14:32" ht="11.25" customHeight="1">
      <c r="N7" s="30" t="s">
        <v>0</v>
      </c>
      <c r="Q7" s="259" t="s">
        <v>9</v>
      </c>
      <c r="R7" s="259"/>
      <c r="S7" s="260" t="s">
        <v>10</v>
      </c>
      <c r="T7" s="261">
        <v>1</v>
      </c>
      <c r="U7" s="263">
        <f>IF(AND(N8&lt;&gt;"",N9&lt;&gt;""),CONCATENATE(VLOOKUP(N8,'[1]zawodnicy'!$A:$E,1,FALSE)," ",VLOOKUP(N8,'[1]zawodnicy'!$A:$E,2,FALSE)," ",VLOOKUP(N8,'[1]zawodnicy'!$A:$E,3,FALSE)," - ",VLOOKUP(N8,'[1]zawodnicy'!$A:$E,4,FALSE)),"")</f>
      </c>
      <c r="V7" s="264"/>
      <c r="W7" s="31"/>
      <c r="X7" s="32" t="str">
        <f>IF(SUM(AN15:AO15)=0,"",AN15&amp;":"&amp;AO15)</f>
        <v>21:13</v>
      </c>
      <c r="Y7" s="32" t="str">
        <f>IF(SUM(AN10:AO10)=0,"",AN10&amp;":"&amp;AO10)</f>
        <v>16:21</v>
      </c>
      <c r="Z7" s="33" t="str">
        <f>IF(SUM(AN12:AO12)=0,"",AN12&amp;":"&amp;AO12)</f>
        <v>21:19</v>
      </c>
      <c r="AA7" s="261" t="str">
        <f>IF(SUM(AX10:BC10)=0,"",BD10&amp;":"&amp;BE10)</f>
        <v>115:134</v>
      </c>
      <c r="AB7" s="265" t="str">
        <f>IF(SUM(AX10:BC10)=0,"",BF10&amp;":"&amp;BG10)</f>
        <v>4:3</v>
      </c>
      <c r="AC7" s="265" t="str">
        <f>IF(SUM(AX10:BC10)=0,"",BH10&amp;":"&amp;BI10)</f>
        <v>2:1</v>
      </c>
      <c r="AD7" s="266">
        <f>IF(SUM(BH10:BH13)&gt;0,BJ10,"")</f>
        <v>2</v>
      </c>
      <c r="AE7" s="11"/>
      <c r="AF7" s="11"/>
    </row>
    <row r="8" spans="8:32" ht="11.25" customHeight="1" thickBot="1">
      <c r="H8" s="9"/>
      <c r="I8" s="2" t="str">
        <f>"1"&amp;O6&amp;N7</f>
        <v>11Runners Up</v>
      </c>
      <c r="J8" s="9" t="str">
        <f>IF(AD7="","",IF(AD7=1,N8,IF(AD10=1,N11,IF(AD13=1,N14,IF(AD16=1,N17,"")))))</f>
        <v>P0003</v>
      </c>
      <c r="K8" s="9">
        <f>IF(AD7="","",IF(AD7=1,N9,IF(AD10=1,N12,IF(AD13=1,N15,IF(AD16=1,N18,"")))))</f>
        <v>0</v>
      </c>
      <c r="L8" s="9"/>
      <c r="N8" s="34" t="s">
        <v>11</v>
      </c>
      <c r="O8" s="35">
        <f>IF(O6&gt;0,(O6&amp;1)*1,"")</f>
        <v>11</v>
      </c>
      <c r="Q8" s="259"/>
      <c r="R8" s="259"/>
      <c r="S8" s="260"/>
      <c r="T8" s="261"/>
      <c r="U8" s="263" t="str">
        <f>IF(AND(N8&lt;&gt;"",N9=""),CONCATENATE(VLOOKUP(N8,'[1]zawodnicy'!$A:$E,1,FALSE)," ",VLOOKUP(N8,'[1]zawodnicy'!$A:$E,2,FALSE)," ",VLOOKUP(N8,'[1]zawodnicy'!$A:$E,3,FALSE)," - ",VLOOKUP(N8,'[1]zawodnicy'!$A:$E,4,FALSE)),"")</f>
        <v>R0003 Dawid RZĄSA - Nowa Dęba</v>
      </c>
      <c r="V8" s="264"/>
      <c r="W8" s="31"/>
      <c r="X8" s="32" t="str">
        <f>IF(SUM(AP15:AQ15)=0,"",AP15&amp;":"&amp;AQ15)</f>
        <v>21:18</v>
      </c>
      <c r="Y8" s="32" t="str">
        <f>IF(SUM(AP10:AQ10)=0,"",AP10&amp;":"&amp;AQ10)</f>
        <v>7:21</v>
      </c>
      <c r="Z8" s="33" t="str">
        <f>IF(SUM(AP12:AQ12)=0,"",AP12&amp;":"&amp;AQ12)</f>
        <v>6:21</v>
      </c>
      <c r="AA8" s="261"/>
      <c r="AB8" s="265"/>
      <c r="AC8" s="265"/>
      <c r="AD8" s="266"/>
      <c r="AE8" s="11"/>
      <c r="AF8" s="11"/>
    </row>
    <row r="9" spans="10:62" ht="11.25" customHeight="1" thickBot="1">
      <c r="J9" s="9"/>
      <c r="K9" s="36"/>
      <c r="L9" s="36"/>
      <c r="N9" s="37"/>
      <c r="O9" s="36"/>
      <c r="P9" s="36"/>
      <c r="Q9" s="259"/>
      <c r="R9" s="259"/>
      <c r="S9" s="260"/>
      <c r="T9" s="262"/>
      <c r="U9" s="267">
        <f>IF(N9&lt;&gt;"",CONCATENATE(VLOOKUP(N9,'[1]zawodnicy'!$A:$E,1,FALSE)," ",VLOOKUP(N9,'[1]zawodnicy'!$A:$E,2,FALSE)," ",VLOOKUP(N9,'[1]zawodnicy'!$A:$E,3,FALSE)," - ",VLOOKUP(N9,'[1]zawodnicy'!$A:$E,4,FALSE)),"")</f>
      </c>
      <c r="V9" s="268"/>
      <c r="W9" s="31"/>
      <c r="X9" s="38">
        <f>IF(SUM(AR15:AS15)=0,"",AR15&amp;":"&amp;AS15)</f>
      </c>
      <c r="Y9" s="38">
        <f>IF(SUM(AR10:AS10)=0,"",AR10&amp;":"&amp;AS10)</f>
      </c>
      <c r="Z9" s="39" t="str">
        <f>IF(SUM(AR12:AS12)=0,"",AR12&amp;":"&amp;AS12)</f>
        <v>23:21</v>
      </c>
      <c r="AA9" s="261"/>
      <c r="AB9" s="265"/>
      <c r="AC9" s="265"/>
      <c r="AD9" s="266"/>
      <c r="AE9" s="11"/>
      <c r="AF9" s="11"/>
      <c r="AH9" s="258" t="s">
        <v>12</v>
      </c>
      <c r="AI9" s="257"/>
      <c r="AJ9" s="257" t="s">
        <v>13</v>
      </c>
      <c r="AK9" s="257"/>
      <c r="AL9" s="257" t="s">
        <v>14</v>
      </c>
      <c r="AM9" s="257"/>
      <c r="AN9" s="258" t="s">
        <v>12</v>
      </c>
      <c r="AO9" s="257"/>
      <c r="AP9" s="257" t="s">
        <v>13</v>
      </c>
      <c r="AQ9" s="257"/>
      <c r="AR9" s="257" t="s">
        <v>14</v>
      </c>
      <c r="AS9" s="273"/>
      <c r="AV9" s="258">
        <v>1</v>
      </c>
      <c r="AW9" s="257"/>
      <c r="AX9" s="257">
        <v>2</v>
      </c>
      <c r="AY9" s="257"/>
      <c r="AZ9" s="257">
        <v>3</v>
      </c>
      <c r="BA9" s="257"/>
      <c r="BB9" s="257">
        <v>4</v>
      </c>
      <c r="BC9" s="273"/>
      <c r="BD9" s="258" t="s">
        <v>3</v>
      </c>
      <c r="BE9" s="273"/>
      <c r="BF9" s="258" t="s">
        <v>4</v>
      </c>
      <c r="BG9" s="273"/>
      <c r="BH9" s="258" t="s">
        <v>5</v>
      </c>
      <c r="BI9" s="274"/>
      <c r="BJ9" s="40" t="s">
        <v>6</v>
      </c>
    </row>
    <row r="10" spans="1:63" ht="11.25" customHeight="1">
      <c r="A10" s="17">
        <f aca="true" t="shared" si="0" ref="A10:A15">S10</f>
        <v>1</v>
      </c>
      <c r="B10" s="17" t="str">
        <f>IF(N8="","",N8)</f>
        <v>R0003</v>
      </c>
      <c r="C10" s="17">
        <f>IF(N9="","",N9)</f>
      </c>
      <c r="D10" s="17" t="str">
        <f>IF(N14="","",N14)</f>
        <v>P0003</v>
      </c>
      <c r="E10" s="17">
        <f>IF(N15="","",N15)</f>
      </c>
      <c r="H10" s="9"/>
      <c r="I10" s="2" t="str">
        <f>"2"&amp;O6&amp;N7</f>
        <v>21Runners Up</v>
      </c>
      <c r="J10" s="9" t="str">
        <f>IF(AD10="","",IF(AD7=2,N8,IF(AD10=2,N11,IF(AD13=2,N14,IF(AD16=2,N17,"")))))</f>
        <v>R0003</v>
      </c>
      <c r="K10" s="9">
        <f>IF(AD10="","",IF(AD7=2,N9,IF(AD10=2,N12,IF(AD13=2,N15,IF(AD16=2,N18,"")))))</f>
        <v>0</v>
      </c>
      <c r="L10" s="9"/>
      <c r="M10" s="41" t="str">
        <f>N7</f>
        <v>Runners Up</v>
      </c>
      <c r="O10" s="36"/>
      <c r="P10" s="36"/>
      <c r="Q10" s="42">
        <f>IF(AT10&gt;0,"",IF(A10=0,"",IF(VLOOKUP(A10,'[1]plan gier'!A:S,19,FALSE)="","",VLOOKUP(A10,'[1]plan gier'!A:S,19,FALSE))))</f>
      </c>
      <c r="R10" s="43" t="s">
        <v>15</v>
      </c>
      <c r="S10" s="44">
        <v>1</v>
      </c>
      <c r="T10" s="269">
        <v>2</v>
      </c>
      <c r="U10" s="270">
        <f>IF(AND(N11&lt;&gt;"",N12&lt;&gt;""),CONCATENATE(VLOOKUP(N11,'[1]zawodnicy'!$A:$E,1,FALSE)," ",VLOOKUP(N11,'[1]zawodnicy'!$A:$E,2,FALSE)," ",VLOOKUP(N11,'[1]zawodnicy'!$A:$E,3,FALSE)," - ",VLOOKUP(N11,'[1]zawodnicy'!$A:$E,4,FALSE)),"")</f>
      </c>
      <c r="V10" s="271"/>
      <c r="W10" s="45" t="str">
        <f>IF(SUM(AN15:AO15)=0,"",AO15&amp;":"&amp;AN15)</f>
        <v>13:21</v>
      </c>
      <c r="X10" s="46"/>
      <c r="Y10" s="47" t="str">
        <f>IF(SUM(AN13:AO13)=0,"",AN13&amp;":"&amp;AO13)</f>
        <v>4:21</v>
      </c>
      <c r="Z10" s="48" t="str">
        <f>IF(SUM(AN11:AO11)=0,"",AN11&amp;":"&amp;AO11)</f>
        <v>10:21</v>
      </c>
      <c r="AA10" s="269" t="str">
        <f>IF(SUM(AV11:AW11,AZ11:BC11)=0,"",BD11&amp;":"&amp;BE11)</f>
        <v>57:126</v>
      </c>
      <c r="AB10" s="272" t="str">
        <f>IF(SUM(AV11:AW11,AZ11:BC11)=0,"",BF11&amp;":"&amp;BG11)</f>
        <v>0:6</v>
      </c>
      <c r="AC10" s="272" t="str">
        <f>IF(SUM(AV11:AW11,AZ11:BC11)=0,"",BH11&amp;":"&amp;BI11)</f>
        <v>0:3</v>
      </c>
      <c r="AD10" s="275">
        <f>IF(SUM(BH10:BH13)&gt;0,BJ11,"")</f>
        <v>4</v>
      </c>
      <c r="AE10" s="11"/>
      <c r="AF10" s="11"/>
      <c r="AG10" s="43" t="s">
        <v>15</v>
      </c>
      <c r="AH10" s="49">
        <f>IF(ISBLANK(S10),"",VLOOKUP(S10,'[1]plan gier'!$X:$AN,12,FALSE))</f>
        <v>16</v>
      </c>
      <c r="AI10" s="50">
        <f>IF(ISBLANK(S10),"",VLOOKUP(S10,'[1]plan gier'!$X:$AN,13,FALSE))</f>
        <v>21</v>
      </c>
      <c r="AJ10" s="50">
        <f>IF(ISBLANK(S10),"",VLOOKUP(S10,'[1]plan gier'!$X:$AN,14,FALSE))</f>
        <v>7</v>
      </c>
      <c r="AK10" s="50">
        <f>IF(ISBLANK(S10),"",VLOOKUP(S10,'[1]plan gier'!$X:$AN,15,FALSE))</f>
        <v>21</v>
      </c>
      <c r="AL10" s="50">
        <f>IF(ISBLANK(S10),"",VLOOKUP(S10,'[1]plan gier'!$X:$AN,16,FALSE))</f>
        <v>0</v>
      </c>
      <c r="AM10" s="50">
        <f>IF(ISBLANK(S10),"",VLOOKUP(S10,'[1]plan gier'!$X:$AN,17,FALSE))</f>
        <v>0</v>
      </c>
      <c r="AN10" s="51">
        <f aca="true" t="shared" si="1" ref="AN10:AS15">IF(AH10="",0,AH10)</f>
        <v>16</v>
      </c>
      <c r="AO10" s="52">
        <f t="shared" si="1"/>
        <v>21</v>
      </c>
      <c r="AP10" s="52">
        <f t="shared" si="1"/>
        <v>7</v>
      </c>
      <c r="AQ10" s="52">
        <f t="shared" si="1"/>
        <v>21</v>
      </c>
      <c r="AR10" s="52">
        <f t="shared" si="1"/>
        <v>0</v>
      </c>
      <c r="AS10" s="53">
        <f t="shared" si="1"/>
        <v>0</v>
      </c>
      <c r="AT10" s="54">
        <f aca="true" t="shared" si="2" ref="AT10:AT15">SUM(AN10:AS10)</f>
        <v>65</v>
      </c>
      <c r="AU10" s="19">
        <v>1</v>
      </c>
      <c r="AV10" s="276"/>
      <c r="AW10" s="277"/>
      <c r="AX10" s="52">
        <f>IF(AH15&gt;AI15,1,0)+IF(AJ15&gt;AK15,1,0)+IF(AL15&gt;AM15,1,0)</f>
        <v>2</v>
      </c>
      <c r="AY10" s="52">
        <f>AV11</f>
        <v>0</v>
      </c>
      <c r="AZ10" s="52">
        <f>IF(AH10&gt;AI10,1,0)+IF(AJ10&gt;AK10,1,0)+IF(AL10&gt;AM10,1,0)</f>
        <v>0</v>
      </c>
      <c r="BA10" s="50">
        <f>AV12</f>
        <v>2</v>
      </c>
      <c r="BB10" s="55">
        <f>IF(AH12&gt;AI12,1,0)+IF(AJ12&gt;AK12,1,0)+IF(AL12&gt;AM12,1,0)</f>
        <v>2</v>
      </c>
      <c r="BC10" s="56">
        <f>AV13</f>
        <v>1</v>
      </c>
      <c r="BD10" s="49">
        <f>AN10+AP10+AR10+AN12+AP12+AR12+AN15+AP15+AR15</f>
        <v>115</v>
      </c>
      <c r="BE10" s="57">
        <f>AO10+AQ10+AS10+AO12+AQ12+AS12+AO15+AQ15+AS15</f>
        <v>134</v>
      </c>
      <c r="BF10" s="49">
        <f>AX10+AZ10+BB10</f>
        <v>4</v>
      </c>
      <c r="BG10" s="58">
        <f>AY10+BA10+BC10</f>
        <v>3</v>
      </c>
      <c r="BH10" s="49">
        <f>IF(AX10&gt;AY10,1,0)+IF(AZ10&gt;BA10,1,0)+IF(BB10&gt;BC10,1,0)</f>
        <v>2</v>
      </c>
      <c r="BI10" s="58">
        <f>IF(AY10&gt;AX10,1,0)+IF(BA10&gt;AZ10,1,0)+IF(BC10&gt;BB10,1,0)</f>
        <v>1</v>
      </c>
      <c r="BJ10" s="59">
        <f>IF(BH10+BI10=0,"",IF(BK10=MAX(BK10:BK13),1,IF(BK10=LARGE(BK10:BK13,2),2,IF(BK10=MIN(BK10:BK13),4,3))))</f>
        <v>2</v>
      </c>
      <c r="BK10" s="60">
        <f>IF(BH10+BI10&lt;&gt;0,BH10-BI10+(BF10-BG10)/100+(BD10-BE10)/10000,-3)</f>
        <v>1.0081</v>
      </c>
    </row>
    <row r="11" spans="1:63" ht="11.25" customHeight="1">
      <c r="A11" s="17">
        <f t="shared" si="0"/>
        <v>2</v>
      </c>
      <c r="B11" s="17" t="str">
        <f>IF(N11="","",N11)</f>
        <v>W0009</v>
      </c>
      <c r="C11" s="17">
        <f>IF(N12="","",N12)</f>
      </c>
      <c r="D11" s="17" t="str">
        <f>IF(N17="","",N17)</f>
        <v>G0002</v>
      </c>
      <c r="E11" s="17">
        <f>IF(N18="","",N18)</f>
      </c>
      <c r="J11" s="9"/>
      <c r="K11" s="17"/>
      <c r="L11" s="17"/>
      <c r="M11" s="41" t="str">
        <f>N7</f>
        <v>Runners Up</v>
      </c>
      <c r="N11" s="34" t="s">
        <v>16</v>
      </c>
      <c r="O11" s="35">
        <f>IF(O6&gt;0,(O6&amp;2)*1,"")</f>
        <v>12</v>
      </c>
      <c r="Q11" s="42">
        <f>IF(AT11&gt;0,"",IF(A11=0,"",IF(VLOOKUP(A11,'[1]plan gier'!A:S,19,FALSE)="","",VLOOKUP(A11,'[1]plan gier'!A:S,19,FALSE))))</f>
      </c>
      <c r="R11" s="43" t="s">
        <v>17</v>
      </c>
      <c r="S11" s="44">
        <v>2</v>
      </c>
      <c r="T11" s="261"/>
      <c r="U11" s="263" t="str">
        <f>IF(AND(N11&lt;&gt;"",N12=""),CONCATENATE(VLOOKUP(N11,'[1]zawodnicy'!$A:$E,1,FALSE)," ",VLOOKUP(N11,'[1]zawodnicy'!$A:$E,2,FALSE)," ",VLOOKUP(N11,'[1]zawodnicy'!$A:$E,3,FALSE)," - ",VLOOKUP(N11,'[1]zawodnicy'!$A:$E,4,FALSE)),"")</f>
        <v>W0009 Karol WESOŁOWSKI - Mielec</v>
      </c>
      <c r="V11" s="264"/>
      <c r="W11" s="61" t="str">
        <f>IF(SUM(AP15:AQ15)=0,"",AQ15&amp;":"&amp;AP15)</f>
        <v>18:21</v>
      </c>
      <c r="X11" s="62"/>
      <c r="Y11" s="32" t="str">
        <f>IF(SUM(AP13:AQ13)=0,"",AP13&amp;":"&amp;AQ13)</f>
        <v>2:21</v>
      </c>
      <c r="Z11" s="63" t="str">
        <f>IF(SUM(AP11:AQ11)=0,"",AP11&amp;":"&amp;AQ11)</f>
        <v>10:21</v>
      </c>
      <c r="AA11" s="261"/>
      <c r="AB11" s="265"/>
      <c r="AC11" s="265"/>
      <c r="AD11" s="266"/>
      <c r="AE11" s="11"/>
      <c r="AF11" s="11"/>
      <c r="AG11" s="43" t="s">
        <v>17</v>
      </c>
      <c r="AH11" s="51">
        <f>IF(ISBLANK(S11),"",VLOOKUP(S11,'[1]plan gier'!$X:$AN,12,FALSE))</f>
        <v>10</v>
      </c>
      <c r="AI11" s="52">
        <f>IF(ISBLANK(S11),"",VLOOKUP(S11,'[1]plan gier'!$X:$AN,13,FALSE))</f>
        <v>21</v>
      </c>
      <c r="AJ11" s="52">
        <f>IF(ISBLANK(S11),"",VLOOKUP(S11,'[1]plan gier'!$X:$AN,14,FALSE))</f>
        <v>10</v>
      </c>
      <c r="AK11" s="52">
        <f>IF(ISBLANK(S11),"",VLOOKUP(S11,'[1]plan gier'!$X:$AN,15,FALSE))</f>
        <v>21</v>
      </c>
      <c r="AL11" s="52">
        <f>IF(ISBLANK(S11),"",VLOOKUP(S11,'[1]plan gier'!$X:$AN,16,FALSE))</f>
        <v>0</v>
      </c>
      <c r="AM11" s="52">
        <f>IF(ISBLANK(S11),"",VLOOKUP(S11,'[1]plan gier'!$X:$AN,17,FALSE))</f>
        <v>0</v>
      </c>
      <c r="AN11" s="64">
        <f t="shared" si="1"/>
        <v>10</v>
      </c>
      <c r="AO11" s="65">
        <f t="shared" si="1"/>
        <v>21</v>
      </c>
      <c r="AP11" s="65">
        <f t="shared" si="1"/>
        <v>10</v>
      </c>
      <c r="AQ11" s="65">
        <f t="shared" si="1"/>
        <v>21</v>
      </c>
      <c r="AR11" s="65">
        <f t="shared" si="1"/>
        <v>0</v>
      </c>
      <c r="AS11" s="66">
        <f t="shared" si="1"/>
        <v>0</v>
      </c>
      <c r="AT11" s="54">
        <f t="shared" si="2"/>
        <v>62</v>
      </c>
      <c r="AU11" s="19">
        <v>2</v>
      </c>
      <c r="AV11" s="64">
        <f>IF(AH15&lt;AI15,1,0)+IF(AJ15&lt;AK15,1,0)+IF(AL15&lt;AM15,1,0)</f>
        <v>0</v>
      </c>
      <c r="AW11" s="65">
        <f>AX10</f>
        <v>2</v>
      </c>
      <c r="AX11" s="67"/>
      <c r="AY11" s="68"/>
      <c r="AZ11" s="65">
        <f>IF(AH13&gt;AI13,1,0)+IF(AJ13&gt;AK13,1,0)+IF(AL13&gt;AM13,1,0)</f>
        <v>0</v>
      </c>
      <c r="BA11" s="65">
        <f>AX12</f>
        <v>2</v>
      </c>
      <c r="BB11" s="69">
        <f>IF(AH11&gt;AI11,1,0)+IF(AJ11&gt;AK11,1,0)+IF(AL11&gt;AM11,1,0)</f>
        <v>0</v>
      </c>
      <c r="BC11" s="70">
        <f>AX13</f>
        <v>2</v>
      </c>
      <c r="BD11" s="64">
        <f>AN11+AP11+AR11+AN13+AP13+AR13+AO15+AQ15+AS15</f>
        <v>57</v>
      </c>
      <c r="BE11" s="70">
        <f>AO11+AQ11+AS11+AO13+AQ13+AS13+AN15+AP15+AR15</f>
        <v>126</v>
      </c>
      <c r="BF11" s="64">
        <f>AV11+AZ11+BB11</f>
        <v>0</v>
      </c>
      <c r="BG11" s="66">
        <f>AW11+BA11+BC11</f>
        <v>6</v>
      </c>
      <c r="BH11" s="64">
        <f>IF(AV11&gt;AW11,1,0)+IF(AZ11&gt;BA11,1,0)+IF(BB11&gt;BC11,1,0)</f>
        <v>0</v>
      </c>
      <c r="BI11" s="66">
        <f>IF(AW11&gt;AV11,1,0)+IF(BA11&gt;AZ11,1,0)+IF(BC11&gt;BB11,1,0)</f>
        <v>3</v>
      </c>
      <c r="BJ11" s="71">
        <f>IF(BH11+BI11=0,"",IF(BK11=MAX(BK10:BK13),1,IF(BK11=LARGE(BK10:BK13,2),2,IF(BK11=MIN(BK10:BK13),4,3))))</f>
        <v>4</v>
      </c>
      <c r="BK11" s="60">
        <f>IF(BH11+BI11&lt;&gt;0,BH11-BI11+(BF11-BG11)/100+(BD11-BE11)/10000,-3)</f>
        <v>-3.0669</v>
      </c>
    </row>
    <row r="12" spans="1:63" ht="11.25" customHeight="1">
      <c r="A12" s="17">
        <f t="shared" si="0"/>
        <v>9</v>
      </c>
      <c r="B12" s="17" t="str">
        <f>IF(N8="","",N8)</f>
        <v>R0003</v>
      </c>
      <c r="C12" s="17">
        <f>IF(N9="","",N9)</f>
      </c>
      <c r="D12" s="17" t="str">
        <f>IF(N17="","",N17)</f>
        <v>G0002</v>
      </c>
      <c r="E12" s="17">
        <f>IF(N18="","",N18)</f>
      </c>
      <c r="H12" s="9"/>
      <c r="I12" s="2" t="str">
        <f>"3"&amp;O6&amp;N7</f>
        <v>31Runners Up</v>
      </c>
      <c r="J12" s="9" t="str">
        <f>IF(AD13="","",IF(AD7=3,N8,IF(AD10=3,N11,IF(AD13=3,N14,IF(AD16=3,N17,"")))))</f>
        <v>G0002</v>
      </c>
      <c r="K12" s="9">
        <f>IF(AD13="","",IF(AD7=3,N9,IF(AD10=3,N12,IF(AD13=3,N15,IF(AD16=3,N18,"")))))</f>
        <v>0</v>
      </c>
      <c r="L12" s="9"/>
      <c r="M12" s="41" t="str">
        <f>N7</f>
        <v>Runners Up</v>
      </c>
      <c r="N12" s="37"/>
      <c r="O12" s="36"/>
      <c r="P12" s="36"/>
      <c r="Q12" s="42">
        <f>IF(AT12&gt;0,"",IF(A12=0,"",IF(VLOOKUP(A12,'[1]plan gier'!A:S,19,FALSE)="","",VLOOKUP(A12,'[1]plan gier'!A:S,19,FALSE))))</f>
      </c>
      <c r="R12" s="43" t="s">
        <v>18</v>
      </c>
      <c r="S12" s="44">
        <v>9</v>
      </c>
      <c r="T12" s="262"/>
      <c r="U12" s="267">
        <f>IF(N12&lt;&gt;"",CONCATENATE(VLOOKUP(N12,'[1]zawodnicy'!$A:$E,1,FALSE)," ",VLOOKUP(N12,'[1]zawodnicy'!$A:$E,2,FALSE)," ",VLOOKUP(N12,'[1]zawodnicy'!$A:$E,3,FALSE)," - ",VLOOKUP(N12,'[1]zawodnicy'!$A:$E,4,FALSE)),"")</f>
      </c>
      <c r="V12" s="268"/>
      <c r="W12" s="72">
        <f>IF(SUM(AR15:AS15)=0,"",AS15&amp;":"&amp;AR15)</f>
      </c>
      <c r="X12" s="62"/>
      <c r="Y12" s="38">
        <f>IF(SUM(AR13:AS13)=0,"",AR13&amp;":"&amp;AS13)</f>
      </c>
      <c r="Z12" s="73">
        <f>IF(SUM(AR11:AS11)=0,"",AR11&amp;":"&amp;AS11)</f>
      </c>
      <c r="AA12" s="261"/>
      <c r="AB12" s="265"/>
      <c r="AC12" s="265"/>
      <c r="AD12" s="266"/>
      <c r="AE12" s="11"/>
      <c r="AF12" s="11"/>
      <c r="AG12" s="43" t="s">
        <v>18</v>
      </c>
      <c r="AH12" s="51">
        <f>IF(ISBLANK(S12),"",VLOOKUP(S12,'[1]plan gier'!$X:$AN,12,FALSE))</f>
        <v>21</v>
      </c>
      <c r="AI12" s="52">
        <f>IF(ISBLANK(S12),"",VLOOKUP(S12,'[1]plan gier'!$X:$AN,13,FALSE))</f>
        <v>19</v>
      </c>
      <c r="AJ12" s="52">
        <f>IF(ISBLANK(S12),"",VLOOKUP(S12,'[1]plan gier'!$X:$AN,14,FALSE))</f>
        <v>6</v>
      </c>
      <c r="AK12" s="52">
        <f>IF(ISBLANK(S12),"",VLOOKUP(S12,'[1]plan gier'!$X:$AN,15,FALSE))</f>
        <v>21</v>
      </c>
      <c r="AL12" s="52">
        <f>IF(ISBLANK(S12),"",VLOOKUP(S12,'[1]plan gier'!$X:$AN,16,FALSE))</f>
        <v>23</v>
      </c>
      <c r="AM12" s="52">
        <f>IF(ISBLANK(S12),"",VLOOKUP(S12,'[1]plan gier'!$X:$AN,17,FALSE))</f>
        <v>21</v>
      </c>
      <c r="AN12" s="64">
        <f t="shared" si="1"/>
        <v>21</v>
      </c>
      <c r="AO12" s="65">
        <f t="shared" si="1"/>
        <v>19</v>
      </c>
      <c r="AP12" s="65">
        <f t="shared" si="1"/>
        <v>6</v>
      </c>
      <c r="AQ12" s="65">
        <f t="shared" si="1"/>
        <v>21</v>
      </c>
      <c r="AR12" s="65">
        <f t="shared" si="1"/>
        <v>23</v>
      </c>
      <c r="AS12" s="66">
        <f t="shared" si="1"/>
        <v>21</v>
      </c>
      <c r="AT12" s="54">
        <f t="shared" si="2"/>
        <v>111</v>
      </c>
      <c r="AU12" s="19">
        <v>3</v>
      </c>
      <c r="AV12" s="64">
        <f>IF(AH10&lt;AI10,1,0)+IF(AJ10&lt;AK10,1,0)+IF(AL10&lt;AM10,1,0)</f>
        <v>2</v>
      </c>
      <c r="AW12" s="65">
        <f>AZ10</f>
        <v>0</v>
      </c>
      <c r="AX12" s="65">
        <f>IF(AH13&lt;AI13,1,0)+IF(AJ13&lt;AK13,1,0)+IF(AL13&lt;AM13,1,0)</f>
        <v>2</v>
      </c>
      <c r="AY12" s="65">
        <f>AZ11</f>
        <v>0</v>
      </c>
      <c r="AZ12" s="67"/>
      <c r="BA12" s="68"/>
      <c r="BB12" s="65">
        <f>IF(AH14&gt;AI14,1,0)+IF(AJ14&gt;AK14,1,0)+IF(AL14&gt;AM14,1,0)</f>
        <v>2</v>
      </c>
      <c r="BC12" s="70">
        <f>AZ13</f>
        <v>0</v>
      </c>
      <c r="BD12" s="74">
        <f>AO10+AQ10+AS10+AO13+AQ13+AS13+AN14+AP14+AR14</f>
        <v>127</v>
      </c>
      <c r="BE12" s="75">
        <f>AN10+AP10+AR10+AN13+AP13+AR13+AO14+AQ14+AS14</f>
        <v>67</v>
      </c>
      <c r="BF12" s="74">
        <f>AV12+AX12+BB12</f>
        <v>6</v>
      </c>
      <c r="BG12" s="76">
        <f>AW12+AY12+BC12</f>
        <v>0</v>
      </c>
      <c r="BH12" s="64">
        <f>IF(AV12&gt;AW12,1,0)+IF(AX12&gt;AY12,1,0)+IF(BB12&gt;BC12,1,0)</f>
        <v>3</v>
      </c>
      <c r="BI12" s="66">
        <f>IF(AW12&gt;AV12,1,0)+IF(AY12&gt;AX12,1,0)+IF(BC12&gt;BB12,1,0)</f>
        <v>0</v>
      </c>
      <c r="BJ12" s="71">
        <f>IF(BH12+BI12=0,"",IF(BK12=MAX(BK10:BK13),1,IF(BK12=LARGE(BK10:BK13,2),2,IF(BK12=MIN(BK10:BK13),4,3))))</f>
        <v>1</v>
      </c>
      <c r="BK12" s="60">
        <f>IF(BH12+BI12&lt;&gt;0,BH12-BI12+(BF12-BG12)/100+(BD12-BE12)/10000,-3)</f>
        <v>3.066</v>
      </c>
    </row>
    <row r="13" spans="1:63" ht="11.25" customHeight="1" thickBot="1">
      <c r="A13" s="17">
        <f t="shared" si="0"/>
        <v>10</v>
      </c>
      <c r="B13" s="17" t="str">
        <f>IF(N11="","",N11)</f>
        <v>W0009</v>
      </c>
      <c r="C13" s="17">
        <f>IF(N12="","",N12)</f>
      </c>
      <c r="D13" s="17" t="str">
        <f>IF(N14="","",N14)</f>
        <v>P0003</v>
      </c>
      <c r="E13" s="17">
        <f>IF(N15="","",N15)</f>
      </c>
      <c r="J13" s="9"/>
      <c r="K13" s="36"/>
      <c r="L13" s="36"/>
      <c r="M13" s="41" t="str">
        <f>N7</f>
        <v>Runners Up</v>
      </c>
      <c r="O13" s="36"/>
      <c r="P13" s="36"/>
      <c r="Q13" s="42">
        <f>IF(AT13&gt;0,"",IF(A13=0,"",IF(VLOOKUP(A13,'[1]plan gier'!A:S,19,FALSE)="","",VLOOKUP(A13,'[1]plan gier'!A:S,19,FALSE))))</f>
      </c>
      <c r="R13" s="43" t="s">
        <v>19</v>
      </c>
      <c r="S13" s="44">
        <v>10</v>
      </c>
      <c r="T13" s="269">
        <v>3</v>
      </c>
      <c r="U13" s="270">
        <f>IF(AND(N14&lt;&gt;"",N15&lt;&gt;""),CONCATENATE(VLOOKUP(N14,'[1]zawodnicy'!$A:$E,1,FALSE)," ",VLOOKUP(N14,'[1]zawodnicy'!$A:$E,2,FALSE)," ",VLOOKUP(N14,'[1]zawodnicy'!$A:$E,3,FALSE)," - ",VLOOKUP(N14,'[1]zawodnicy'!$A:$E,4,FALSE)),"")</f>
      </c>
      <c r="V13" s="271"/>
      <c r="W13" s="45" t="str">
        <f>IF(SUM(AN10:AO10)=0,"",AO10&amp;":"&amp;AN10)</f>
        <v>21:16</v>
      </c>
      <c r="X13" s="47" t="str">
        <f>IF(SUM(AN13:AO13)=0,"",AO13&amp;":"&amp;AN13)</f>
        <v>21:4</v>
      </c>
      <c r="Y13" s="77"/>
      <c r="Z13" s="48" t="str">
        <f>IF(SUM(AN14:AO14)=0,"",AN14&amp;":"&amp;AO14)</f>
        <v>22:20</v>
      </c>
      <c r="AA13" s="269" t="str">
        <f>IF(SUM(AV12:AY12,BB12:BC12)=0,"",BD12&amp;":"&amp;BE12)</f>
        <v>127:67</v>
      </c>
      <c r="AB13" s="272" t="str">
        <f>IF(SUM(AV12:AY12,BB12:BC12)=0,"",BF12&amp;":"&amp;BG12)</f>
        <v>6:0</v>
      </c>
      <c r="AC13" s="272" t="str">
        <f>IF(SUM(AV12:AY12,BB12:BC12)=0,"",BH12&amp;":"&amp;BI12)</f>
        <v>3:0</v>
      </c>
      <c r="AD13" s="275">
        <f>IF(SUM(BH10:BH13)&gt;0,BJ12,"")</f>
        <v>1</v>
      </c>
      <c r="AE13" s="11"/>
      <c r="AF13" s="11"/>
      <c r="AG13" s="43" t="s">
        <v>19</v>
      </c>
      <c r="AH13" s="51">
        <f>IF(ISBLANK(S13),"",VLOOKUP(S13,'[1]plan gier'!$X:$AN,12,FALSE))</f>
        <v>4</v>
      </c>
      <c r="AI13" s="52">
        <f>IF(ISBLANK(S13),"",VLOOKUP(S13,'[1]plan gier'!$X:$AN,13,FALSE))</f>
        <v>21</v>
      </c>
      <c r="AJ13" s="52">
        <f>IF(ISBLANK(S13),"",VLOOKUP(S13,'[1]plan gier'!$X:$AN,14,FALSE))</f>
        <v>2</v>
      </c>
      <c r="AK13" s="52">
        <f>IF(ISBLANK(S13),"",VLOOKUP(S13,'[1]plan gier'!$X:$AN,15,FALSE))</f>
        <v>21</v>
      </c>
      <c r="AL13" s="52">
        <f>IF(ISBLANK(S13),"",VLOOKUP(S13,'[1]plan gier'!$X:$AN,16,FALSE))</f>
        <v>0</v>
      </c>
      <c r="AM13" s="52">
        <f>IF(ISBLANK(S13),"",VLOOKUP(S13,'[1]plan gier'!$X:$AN,17,FALSE))</f>
        <v>0</v>
      </c>
      <c r="AN13" s="64">
        <f t="shared" si="1"/>
        <v>4</v>
      </c>
      <c r="AO13" s="65">
        <f t="shared" si="1"/>
        <v>21</v>
      </c>
      <c r="AP13" s="65">
        <f t="shared" si="1"/>
        <v>2</v>
      </c>
      <c r="AQ13" s="65">
        <f t="shared" si="1"/>
        <v>21</v>
      </c>
      <c r="AR13" s="65">
        <f t="shared" si="1"/>
        <v>0</v>
      </c>
      <c r="AS13" s="66">
        <f t="shared" si="1"/>
        <v>0</v>
      </c>
      <c r="AT13" s="54">
        <f t="shared" si="2"/>
        <v>48</v>
      </c>
      <c r="AU13" s="19">
        <v>4</v>
      </c>
      <c r="AV13" s="78">
        <f>IF(AH12&lt;AI12,1,0)+IF(AJ12&lt;AK12,1,0)+IF(AL12&lt;AM12,1,0)</f>
        <v>1</v>
      </c>
      <c r="AW13" s="79">
        <f>BB10</f>
        <v>2</v>
      </c>
      <c r="AX13" s="79">
        <f>IF(AH11&lt;AI11,1,0)+IF(AJ11&lt;AK11,1,0)+IF(AL11&lt;AM11,1,0)</f>
        <v>2</v>
      </c>
      <c r="AY13" s="79">
        <f>BB11</f>
        <v>0</v>
      </c>
      <c r="AZ13" s="80">
        <f>IF(AH14&lt;AI14,1,0)+IF(AJ14&lt;AK14,1,0)+IF(AL14&lt;AM14,1,0)</f>
        <v>0</v>
      </c>
      <c r="BA13" s="80">
        <f>BB12</f>
        <v>2</v>
      </c>
      <c r="BB13" s="81"/>
      <c r="BC13" s="82"/>
      <c r="BD13" s="83">
        <f>AO11+AQ11+AS11+AO12+AQ12+AS12+AO14+AQ14+AS14</f>
        <v>141</v>
      </c>
      <c r="BE13" s="84">
        <f>AN11+AP11+AR11+AN12+AP12+AR12+AN14+AP14+AR14</f>
        <v>113</v>
      </c>
      <c r="BF13" s="83">
        <f>AV13+AX13+AZ13</f>
        <v>3</v>
      </c>
      <c r="BG13" s="85">
        <f>AW13+AY13+BA13</f>
        <v>4</v>
      </c>
      <c r="BH13" s="83">
        <f>IF(AV13&gt;AW13,1,0)+IF(AX13&gt;AY13,1,0)+IF(AZ13&gt;BA13,1,0)</f>
        <v>1</v>
      </c>
      <c r="BI13" s="85">
        <f>IF(AW13&gt;AV13,1,0)+IF(AY13&gt;AX13,1,0)+IF(BA13&gt;AZ13,1,0)</f>
        <v>2</v>
      </c>
      <c r="BJ13" s="86">
        <f>IF(BH13+BI13=0,"",IF(BK13=MAX(BK10:BK13),1,IF(BK13=LARGE(BK10:BK13,2),2,IF(BK13=MIN(BK10:BK13),4,3))))</f>
        <v>3</v>
      </c>
      <c r="BK13" s="60">
        <f>IF(BH13+BI13&lt;&gt;0,BH13-BI13+(BF13-BG13)/100+(BD13-BE13)/10000,-3)</f>
        <v>-1.0072</v>
      </c>
    </row>
    <row r="14" spans="1:63" ht="11.25" customHeight="1">
      <c r="A14" s="17">
        <f t="shared" si="0"/>
        <v>17</v>
      </c>
      <c r="B14" s="17" t="str">
        <f>IF(N14="","",N14)</f>
        <v>P0003</v>
      </c>
      <c r="C14" s="17">
        <f>IF(N15="","",N15)</f>
      </c>
      <c r="D14" s="17" t="str">
        <f>IF(N17="","",N17)</f>
        <v>G0002</v>
      </c>
      <c r="E14" s="17">
        <f>IF(N18="","",N18)</f>
      </c>
      <c r="H14" s="9"/>
      <c r="I14" s="2" t="str">
        <f>"4"&amp;O6&amp;N7</f>
        <v>41Runners Up</v>
      </c>
      <c r="J14" s="9" t="str">
        <f>IF(AD16="","",IF(AD7=4,N8,IF(AD10=4,N11,IF(AD13=4,N14,IF(AD16=4,N17,"")))))</f>
        <v>W0009</v>
      </c>
      <c r="K14" s="9">
        <f>IF(AD16="","",IF(AD7=4,N9,IF(AD10=4,N12,IF(AD13=4,N15,IF(AD16=4,N18,"")))))</f>
        <v>0</v>
      </c>
      <c r="L14" s="9"/>
      <c r="M14" s="41" t="str">
        <f>N7</f>
        <v>Runners Up</v>
      </c>
      <c r="N14" s="34" t="s">
        <v>20</v>
      </c>
      <c r="O14" s="35">
        <f>IF(O6&gt;0,(O6&amp;3)*1,"")</f>
        <v>13</v>
      </c>
      <c r="Q14" s="42">
        <f>IF(AT14&gt;0,"",IF(A14=0,"",IF(VLOOKUP(A14,'[1]plan gier'!A:S,19,FALSE)="","",VLOOKUP(A14,'[1]plan gier'!A:S,19,FALSE))))</f>
      </c>
      <c r="R14" s="43" t="s">
        <v>21</v>
      </c>
      <c r="S14" s="44">
        <v>17</v>
      </c>
      <c r="T14" s="261"/>
      <c r="U14" s="263" t="str">
        <f>IF(AND(N14&lt;&gt;"",N15=""),CONCATENATE(VLOOKUP(N14,'[1]zawodnicy'!$A:$E,1,FALSE)," ",VLOOKUP(N14,'[1]zawodnicy'!$A:$E,2,FALSE)," ",VLOOKUP(N14,'[1]zawodnicy'!$A:$E,3,FALSE)," - ",VLOOKUP(N14,'[1]zawodnicy'!$A:$E,4,FALSE)),"")</f>
        <v>P0003 Łukasz PIENIĄŻEK - Rzeszów</v>
      </c>
      <c r="V14" s="264"/>
      <c r="W14" s="61" t="str">
        <f>IF(SUM(AP10:AQ10)=0,"",AQ10&amp;":"&amp;AP10)</f>
        <v>21:7</v>
      </c>
      <c r="X14" s="32" t="str">
        <f>IF(SUM(AP13:AQ13)=0,"",AQ13&amp;":"&amp;AP13)</f>
        <v>21:2</v>
      </c>
      <c r="Y14" s="87"/>
      <c r="Z14" s="63" t="str">
        <f>IF(SUM(AP14:AQ14)=0,"",AP14&amp;":"&amp;AQ14)</f>
        <v>21:18</v>
      </c>
      <c r="AA14" s="261"/>
      <c r="AB14" s="265"/>
      <c r="AC14" s="265"/>
      <c r="AD14" s="266"/>
      <c r="AE14" s="11"/>
      <c r="AF14" s="11"/>
      <c r="AG14" s="43" t="s">
        <v>21</v>
      </c>
      <c r="AH14" s="51">
        <f>IF(ISBLANK(S14),"",VLOOKUP(S14,'[1]plan gier'!$X:$AN,12,FALSE))</f>
        <v>22</v>
      </c>
      <c r="AI14" s="52">
        <f>IF(ISBLANK(S14),"",VLOOKUP(S14,'[1]plan gier'!$X:$AN,13,FALSE))</f>
        <v>20</v>
      </c>
      <c r="AJ14" s="52">
        <f>IF(ISBLANK(S14),"",VLOOKUP(S14,'[1]plan gier'!$X:$AN,14,FALSE))</f>
        <v>21</v>
      </c>
      <c r="AK14" s="52">
        <f>IF(ISBLANK(S14),"",VLOOKUP(S14,'[1]plan gier'!$X:$AN,15,FALSE))</f>
        <v>18</v>
      </c>
      <c r="AL14" s="52">
        <f>IF(ISBLANK(S14),"",VLOOKUP(S14,'[1]plan gier'!$X:$AN,16,FALSE))</f>
        <v>0</v>
      </c>
      <c r="AM14" s="52">
        <f>IF(ISBLANK(S14),"",VLOOKUP(S14,'[1]plan gier'!$X:$AN,17,FALSE))</f>
        <v>0</v>
      </c>
      <c r="AN14" s="64">
        <f t="shared" si="1"/>
        <v>22</v>
      </c>
      <c r="AO14" s="65">
        <f t="shared" si="1"/>
        <v>20</v>
      </c>
      <c r="AP14" s="65">
        <f t="shared" si="1"/>
        <v>21</v>
      </c>
      <c r="AQ14" s="65">
        <f t="shared" si="1"/>
        <v>18</v>
      </c>
      <c r="AR14" s="65">
        <f t="shared" si="1"/>
        <v>0</v>
      </c>
      <c r="AS14" s="66">
        <f t="shared" si="1"/>
        <v>0</v>
      </c>
      <c r="AT14" s="54">
        <f t="shared" si="2"/>
        <v>81</v>
      </c>
      <c r="BD14" s="17">
        <f aca="true" t="shared" si="3" ref="BD14:BI14">SUM(BD10:BD13)</f>
        <v>440</v>
      </c>
      <c r="BE14" s="17">
        <f t="shared" si="3"/>
        <v>440</v>
      </c>
      <c r="BF14" s="17">
        <f t="shared" si="3"/>
        <v>13</v>
      </c>
      <c r="BG14" s="17">
        <f t="shared" si="3"/>
        <v>13</v>
      </c>
      <c r="BH14" s="17">
        <f t="shared" si="3"/>
        <v>6</v>
      </c>
      <c r="BI14" s="17">
        <f t="shared" si="3"/>
        <v>6</v>
      </c>
      <c r="BK14" s="18">
        <f>SUM(BK10:BK13)</f>
        <v>0</v>
      </c>
    </row>
    <row r="15" spans="1:46" ht="11.25" customHeight="1" thickBot="1">
      <c r="A15" s="17">
        <f t="shared" si="0"/>
        <v>18</v>
      </c>
      <c r="B15" s="17" t="str">
        <f>IF(N8="","",N8)</f>
        <v>R0003</v>
      </c>
      <c r="C15" s="17">
        <f>IF(N9="","",N9)</f>
      </c>
      <c r="D15" s="17" t="str">
        <f>IF(N11="","",N11)</f>
        <v>W0009</v>
      </c>
      <c r="E15" s="17">
        <f>IF(N12="","",N12)</f>
      </c>
      <c r="J15" s="36"/>
      <c r="K15" s="36"/>
      <c r="L15" s="36"/>
      <c r="M15" s="41" t="str">
        <f>N7</f>
        <v>Runners Up</v>
      </c>
      <c r="N15" s="37"/>
      <c r="O15" s="36"/>
      <c r="P15" s="36"/>
      <c r="Q15" s="42">
        <f>IF(AT15&gt;0,"",IF(A15=0,"",IF(VLOOKUP(A15,'[1]plan gier'!A:S,19,FALSE)="","",VLOOKUP(A15,'[1]plan gier'!A:S,19,FALSE))))</f>
      </c>
      <c r="R15" s="43" t="s">
        <v>22</v>
      </c>
      <c r="S15" s="44">
        <v>18</v>
      </c>
      <c r="T15" s="262"/>
      <c r="U15" s="267">
        <f>IF(N15&lt;&gt;"",CONCATENATE(VLOOKUP(N15,'[1]zawodnicy'!$A:$E,1,FALSE)," ",VLOOKUP(N15,'[1]zawodnicy'!$A:$E,2,FALSE)," ",VLOOKUP(N15,'[1]zawodnicy'!$A:$E,3,FALSE)," - ",VLOOKUP(N15,'[1]zawodnicy'!$A:$E,4,FALSE)),"")</f>
      </c>
      <c r="V15" s="268"/>
      <c r="W15" s="72">
        <f>IF(SUM(AR10:AS10)=0,"",AS10&amp;":"&amp;AR10)</f>
      </c>
      <c r="X15" s="38">
        <f>IF(SUM(AR13:AS13)=0,"",AS13&amp;":"&amp;AR13)</f>
      </c>
      <c r="Y15" s="87"/>
      <c r="Z15" s="73">
        <f>IF(SUM(AR14:AS14)=0,"",AR14&amp;":"&amp;AS14)</f>
      </c>
      <c r="AA15" s="261"/>
      <c r="AB15" s="265"/>
      <c r="AC15" s="265"/>
      <c r="AD15" s="266"/>
      <c r="AE15" s="11"/>
      <c r="AF15" s="11"/>
      <c r="AG15" s="43" t="s">
        <v>22</v>
      </c>
      <c r="AH15" s="78">
        <f>IF(ISBLANK(S15),"",VLOOKUP(S15,'[1]plan gier'!$X:$AN,12,FALSE))</f>
        <v>21</v>
      </c>
      <c r="AI15" s="79">
        <f>IF(ISBLANK(S15),"",VLOOKUP(S15,'[1]plan gier'!$X:$AN,13,FALSE))</f>
        <v>13</v>
      </c>
      <c r="AJ15" s="79">
        <f>IF(ISBLANK(S15),"",VLOOKUP(S15,'[1]plan gier'!$X:$AN,14,FALSE))</f>
        <v>21</v>
      </c>
      <c r="AK15" s="79">
        <f>IF(ISBLANK(S15),"",VLOOKUP(S15,'[1]plan gier'!$X:$AN,15,FALSE))</f>
        <v>18</v>
      </c>
      <c r="AL15" s="79">
        <f>IF(ISBLANK(S15),"",VLOOKUP(S15,'[1]plan gier'!$X:$AN,16,FALSE))</f>
        <v>0</v>
      </c>
      <c r="AM15" s="79">
        <f>IF(ISBLANK(S15),"",VLOOKUP(S15,'[1]plan gier'!$X:$AN,17,FALSE))</f>
        <v>0</v>
      </c>
      <c r="AN15" s="83">
        <f t="shared" si="1"/>
        <v>21</v>
      </c>
      <c r="AO15" s="80">
        <f t="shared" si="1"/>
        <v>13</v>
      </c>
      <c r="AP15" s="80">
        <f t="shared" si="1"/>
        <v>21</v>
      </c>
      <c r="AQ15" s="80">
        <f t="shared" si="1"/>
        <v>18</v>
      </c>
      <c r="AR15" s="80">
        <f t="shared" si="1"/>
        <v>0</v>
      </c>
      <c r="AS15" s="85">
        <f t="shared" si="1"/>
        <v>0</v>
      </c>
      <c r="AT15" s="54">
        <f t="shared" si="2"/>
        <v>73</v>
      </c>
    </row>
    <row r="16" spans="1:46" ht="11.25" customHeight="1">
      <c r="A16" s="2"/>
      <c r="J16" s="36"/>
      <c r="K16" s="36"/>
      <c r="L16" s="36"/>
      <c r="O16" s="36"/>
      <c r="P16" s="36"/>
      <c r="Q16" s="2"/>
      <c r="R16" s="2"/>
      <c r="S16" s="2"/>
      <c r="T16" s="269">
        <v>4</v>
      </c>
      <c r="U16" s="270">
        <f>IF(AND(N17&lt;&gt;"",N18&lt;&gt;""),CONCATENATE(VLOOKUP(N17,'[1]zawodnicy'!$A:$E,1,FALSE)," ",VLOOKUP(N17,'[1]zawodnicy'!$A:$E,2,FALSE)," ",VLOOKUP(N17,'[1]zawodnicy'!$A:$E,3,FALSE)," - ",VLOOKUP(N17,'[1]zawodnicy'!$A:$E,4,FALSE)),"")</f>
      </c>
      <c r="V16" s="271"/>
      <c r="W16" s="45" t="str">
        <f>IF(SUM(AN12:AO12)=0,"",AO12&amp;":"&amp;AN12)</f>
        <v>19:21</v>
      </c>
      <c r="X16" s="47" t="str">
        <f>IF(SUM(AN11:AO11)=0,"",AO11&amp;":"&amp;AN11)</f>
        <v>21:10</v>
      </c>
      <c r="Y16" s="47" t="str">
        <f>IF(SUM(AN14:AO14)=0,"",AO14&amp;":"&amp;AN14)</f>
        <v>20:22</v>
      </c>
      <c r="Z16" s="88"/>
      <c r="AA16" s="269" t="str">
        <f>IF(SUM(AV13:BA13)=0,"",BD13&amp;":"&amp;BE13)</f>
        <v>141:113</v>
      </c>
      <c r="AB16" s="272" t="str">
        <f>IF(SUM(AV13:BA13)=0,"",BF13&amp;":"&amp;BG13)</f>
        <v>3:4</v>
      </c>
      <c r="AC16" s="272" t="str">
        <f>IF(SUM(AV13:BA13)=0,"",BH13&amp;":"&amp;BI13)</f>
        <v>1:2</v>
      </c>
      <c r="AD16" s="275">
        <f>IF(SUM(BH10:BH13)&gt;0,BJ13,"")</f>
        <v>3</v>
      </c>
      <c r="AE16" s="11"/>
      <c r="AF16" s="1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63" ht="11.25" customHeight="1">
      <c r="A17" s="17"/>
      <c r="B17" s="17"/>
      <c r="C17" s="17"/>
      <c r="D17" s="17"/>
      <c r="E17" s="17"/>
      <c r="H17" s="9"/>
      <c r="J17" s="17"/>
      <c r="K17" s="17"/>
      <c r="L17" s="17"/>
      <c r="N17" s="34" t="s">
        <v>23</v>
      </c>
      <c r="O17" s="35">
        <f>IF(O6&gt;0,(O6&amp;4)*1,"")</f>
        <v>14</v>
      </c>
      <c r="Q17" s="89"/>
      <c r="R17" s="89"/>
      <c r="S17" s="90"/>
      <c r="T17" s="261"/>
      <c r="U17" s="263" t="str">
        <f>IF(AND(N17&lt;&gt;"",N18=""),CONCATENATE(VLOOKUP(N17,'[1]zawodnicy'!$A:$E,1,FALSE)," ",VLOOKUP(N17,'[1]zawodnicy'!$A:$E,2,FALSE)," ",VLOOKUP(N17,'[1]zawodnicy'!$A:$E,3,FALSE)," - ",VLOOKUP(N17,'[1]zawodnicy'!$A:$E,4,FALSE)),"")</f>
        <v>G0002 Jarosław GÓRSKI - Gorlice</v>
      </c>
      <c r="V17" s="264"/>
      <c r="W17" s="61" t="str">
        <f>IF(SUM(AP12:AQ12)=0,"",AQ12&amp;":"&amp;AP12)</f>
        <v>21:6</v>
      </c>
      <c r="X17" s="32" t="str">
        <f>IF(SUM(AP11:AQ11)=0,"",AQ11&amp;":"&amp;AP11)</f>
        <v>21:10</v>
      </c>
      <c r="Y17" s="32" t="str">
        <f>IF(SUM(AP14:AQ14)=0,"",AQ14&amp;":"&amp;AP14)</f>
        <v>18:21</v>
      </c>
      <c r="Z17" s="91"/>
      <c r="AA17" s="261"/>
      <c r="AB17" s="265"/>
      <c r="AC17" s="265"/>
      <c r="AD17" s="266"/>
      <c r="AE17" s="11"/>
      <c r="AF17" s="1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1.25" customHeight="1" thickBot="1">
      <c r="A18" s="2"/>
      <c r="J18" s="36"/>
      <c r="K18" s="36"/>
      <c r="L18" s="36"/>
      <c r="N18" s="37"/>
      <c r="O18" s="36"/>
      <c r="P18" s="36"/>
      <c r="Q18" s="2"/>
      <c r="R18" s="2"/>
      <c r="S18" s="2"/>
      <c r="T18" s="286"/>
      <c r="U18" s="296">
        <f>IF(N18&lt;&gt;"",CONCATENATE(VLOOKUP(N18,'[1]zawodnicy'!$A:$E,1,FALSE)," ",VLOOKUP(N18,'[1]zawodnicy'!$A:$E,2,FALSE)," ",VLOOKUP(N18,'[1]zawodnicy'!$A:$E,3,FALSE)," - ",VLOOKUP(N18,'[1]zawodnicy'!$A:$E,4,FALSE)),"")</f>
      </c>
      <c r="V18" s="297"/>
      <c r="W18" s="92" t="str">
        <f>IF(SUM(AR12:AS12)=0,"",AS12&amp;":"&amp;AR12)</f>
        <v>21:23</v>
      </c>
      <c r="X18" s="93">
        <f>IF(SUM(AR11:AS11)=0,"",AS11&amp;":"&amp;AR11)</f>
      </c>
      <c r="Y18" s="93">
        <f>IF(SUM(AR14:AS14)=0,"",AS14&amp;":"&amp;AR14)</f>
      </c>
      <c r="Z18" s="94"/>
      <c r="AA18" s="286"/>
      <c r="AB18" s="287"/>
      <c r="AC18" s="287"/>
      <c r="AD18" s="288"/>
      <c r="AE18" s="11"/>
      <c r="AF18" s="1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ht="11.25" customHeight="1"/>
    <row r="20" ht="11.25" customHeight="1" thickBot="1"/>
    <row r="21" spans="14:32" ht="11.25" customHeight="1" thickBot="1">
      <c r="N21" s="10"/>
      <c r="O21" s="21">
        <v>2</v>
      </c>
      <c r="Q21" s="252" t="str">
        <f>"Grupa "&amp;O21&amp;"."</f>
        <v>Grupa 2.</v>
      </c>
      <c r="R21" s="252"/>
      <c r="S21" s="278"/>
      <c r="T21" s="22" t="s">
        <v>1</v>
      </c>
      <c r="U21" s="254" t="s">
        <v>2</v>
      </c>
      <c r="V21" s="279"/>
      <c r="W21" s="22">
        <v>1</v>
      </c>
      <c r="X21" s="24">
        <v>2</v>
      </c>
      <c r="Y21" s="95">
        <v>3</v>
      </c>
      <c r="Z21" s="96" t="s">
        <v>3</v>
      </c>
      <c r="AA21" s="28" t="s">
        <v>4</v>
      </c>
      <c r="AB21" s="28" t="s">
        <v>5</v>
      </c>
      <c r="AC21" s="97" t="s">
        <v>6</v>
      </c>
      <c r="AD21" s="2"/>
      <c r="AE21" s="11"/>
      <c r="AF21" s="11"/>
    </row>
    <row r="22" spans="10:45" ht="11.25" customHeight="1">
      <c r="J22" s="36"/>
      <c r="K22" s="36"/>
      <c r="L22" s="36"/>
      <c r="N22" s="30" t="s">
        <v>0</v>
      </c>
      <c r="Q22" s="259" t="s">
        <v>9</v>
      </c>
      <c r="R22" s="259"/>
      <c r="S22" s="280" t="s">
        <v>10</v>
      </c>
      <c r="T22" s="281">
        <v>1</v>
      </c>
      <c r="U22" s="282">
        <f>IF(AND(N23&lt;&gt;"",N24&lt;&gt;""),CONCATENATE(VLOOKUP(N23,'[1]zawodnicy'!$A:$E,1,FALSE)," ",VLOOKUP(N23,'[1]zawodnicy'!$A:$E,2,FALSE)," ",VLOOKUP(N23,'[1]zawodnicy'!$A:$E,3,FALSE)," - ",VLOOKUP(N23,'[1]zawodnicy'!$A:$E,4,FALSE)),"")</f>
      </c>
      <c r="V22" s="283"/>
      <c r="W22" s="98"/>
      <c r="X22" s="99" t="str">
        <f>IF(SUM(AN27:AO27)=0,"",AN27&amp;":"&amp;AO27)</f>
        <v>21:16</v>
      </c>
      <c r="Y22" s="100" t="str">
        <f>IF(SUM(AN25:AO25)=0,"",AN25&amp;":"&amp;AO25)</f>
        <v>21:14</v>
      </c>
      <c r="Z22" s="281" t="str">
        <f>IF(SUM(AX25:BA25)=0,"",BD25&amp;":"&amp;BE25)</f>
        <v>101:85</v>
      </c>
      <c r="AA22" s="289" t="str">
        <f>IF(SUM(AX25:BA25)=0,"",BF25&amp;":"&amp;BG25)</f>
        <v>4:1</v>
      </c>
      <c r="AB22" s="289" t="str">
        <f>IF(SUM(AX25:BA25)=0,"",BH25&amp;":"&amp;BI25)</f>
        <v>2:0</v>
      </c>
      <c r="AC22" s="291">
        <f>IF(SUM(BH25:BH27)&gt;0,BJ25,"")</f>
        <v>1</v>
      </c>
      <c r="AD22" s="2"/>
      <c r="AE22" s="11"/>
      <c r="AF22" s="11"/>
      <c r="AG22" s="13"/>
      <c r="AH22" s="256" t="s">
        <v>7</v>
      </c>
      <c r="AI22" s="256"/>
      <c r="AJ22" s="256"/>
      <c r="AK22" s="256"/>
      <c r="AL22" s="256"/>
      <c r="AM22" s="256"/>
      <c r="AN22" s="256" t="s">
        <v>8</v>
      </c>
      <c r="AO22" s="256"/>
      <c r="AP22" s="256"/>
      <c r="AQ22" s="256"/>
      <c r="AR22" s="256"/>
      <c r="AS22" s="256"/>
    </row>
    <row r="23" spans="9:59" ht="11.25" customHeight="1" thickBot="1">
      <c r="I23" s="2" t="str">
        <f>"1"&amp;O21&amp;N22</f>
        <v>12Runners Up</v>
      </c>
      <c r="J23" s="9" t="str">
        <f>IF(AC22="","",IF(AC22=1,N23,IF(AC25=1,N26,IF(AC28=1,N29,""))))</f>
        <v>K0029</v>
      </c>
      <c r="K23" s="9">
        <f>IF(AC22="","",IF(AC22=1,N24,IF(AC25=1,N27,IF(AC28=1,N30,""))))</f>
        <v>0</v>
      </c>
      <c r="L23" s="9"/>
      <c r="N23" s="34" t="s">
        <v>24</v>
      </c>
      <c r="O23" s="35">
        <f>IF(O21&gt;0,(O21&amp;1)*1,"")</f>
        <v>21</v>
      </c>
      <c r="Q23" s="259"/>
      <c r="R23" s="259"/>
      <c r="S23" s="280"/>
      <c r="T23" s="261"/>
      <c r="U23" s="263" t="str">
        <f>IF(AND(N23&lt;&gt;"",N24=""),CONCATENATE(VLOOKUP(N23,'[1]zawodnicy'!$A:$E,1,FALSE)," ",VLOOKUP(N23,'[1]zawodnicy'!$A:$E,2,FALSE)," ",VLOOKUP(N23,'[1]zawodnicy'!$A:$E,3,FALSE)," - ",VLOOKUP(N23,'[1]zawodnicy'!$A:$E,4,FALSE)),"")</f>
        <v>K0029 Patryk KOPEĆ - Nowa Dęba</v>
      </c>
      <c r="V23" s="284"/>
      <c r="W23" s="31"/>
      <c r="X23" s="32" t="str">
        <f>IF(SUM(AP27:AQ27)=0,"",AP27&amp;":"&amp;AQ27)</f>
        <v>21:19</v>
      </c>
      <c r="Y23" s="63" t="str">
        <f>IF(SUM(AP25:AQ25)=0,"",AP25&amp;":"&amp;AQ25)</f>
        <v>17:21</v>
      </c>
      <c r="Z23" s="261"/>
      <c r="AA23" s="265"/>
      <c r="AB23" s="265"/>
      <c r="AC23" s="266"/>
      <c r="AD23" s="2"/>
      <c r="AE23" s="11"/>
      <c r="AF23" s="11"/>
      <c r="AG23" s="13"/>
      <c r="BD23" s="17">
        <f>SUM(BD25:BD27)</f>
        <v>255</v>
      </c>
      <c r="BE23" s="17">
        <f>SUM(BE25:BE27)</f>
        <v>255</v>
      </c>
      <c r="BF23" s="17">
        <f>SUM(BF25:BF27)</f>
        <v>7</v>
      </c>
      <c r="BG23" s="17">
        <f>SUM(BG25:BG27)</f>
        <v>7</v>
      </c>
    </row>
    <row r="24" spans="10:63" ht="11.25" customHeight="1" thickBot="1">
      <c r="J24" s="9"/>
      <c r="K24" s="36"/>
      <c r="L24" s="36"/>
      <c r="N24" s="37"/>
      <c r="O24" s="36"/>
      <c r="P24" s="36"/>
      <c r="Q24" s="259"/>
      <c r="R24" s="259"/>
      <c r="S24" s="280"/>
      <c r="T24" s="262"/>
      <c r="U24" s="267">
        <f>IF(N24&lt;&gt;"",CONCATENATE(VLOOKUP(N24,'[1]zawodnicy'!$A:$E,1,FALSE)," ",VLOOKUP(N24,'[1]zawodnicy'!$A:$E,2,FALSE)," ",VLOOKUP(N24,'[1]zawodnicy'!$A:$E,3,FALSE)," - ",VLOOKUP(N24,'[1]zawodnicy'!$A:$E,4,FALSE)),"")</f>
      </c>
      <c r="V24" s="285"/>
      <c r="W24" s="31"/>
      <c r="X24" s="38">
        <f>IF(SUM(AR27:AS27)=0,"",AR27&amp;":"&amp;AS27)</f>
      </c>
      <c r="Y24" s="73" t="str">
        <f>IF(SUM(AR25:AS25)=0,"",AR25&amp;":"&amp;AS25)</f>
        <v>21:15</v>
      </c>
      <c r="Z24" s="262"/>
      <c r="AA24" s="290"/>
      <c r="AB24" s="290"/>
      <c r="AC24" s="292"/>
      <c r="AD24" s="2"/>
      <c r="AE24" s="11"/>
      <c r="AF24" s="11"/>
      <c r="AG24" s="13"/>
      <c r="AH24" s="293" t="s">
        <v>12</v>
      </c>
      <c r="AI24" s="294"/>
      <c r="AJ24" s="274" t="s">
        <v>13</v>
      </c>
      <c r="AK24" s="294"/>
      <c r="AL24" s="274" t="s">
        <v>14</v>
      </c>
      <c r="AM24" s="295"/>
      <c r="AN24" s="293" t="s">
        <v>12</v>
      </c>
      <c r="AO24" s="294"/>
      <c r="AP24" s="274" t="s">
        <v>13</v>
      </c>
      <c r="AQ24" s="294"/>
      <c r="AR24" s="274" t="s">
        <v>14</v>
      </c>
      <c r="AS24" s="294"/>
      <c r="AT24" s="11"/>
      <c r="AU24" s="11"/>
      <c r="AV24" s="293">
        <v>1</v>
      </c>
      <c r="AW24" s="294"/>
      <c r="AX24" s="274">
        <v>2</v>
      </c>
      <c r="AY24" s="294"/>
      <c r="AZ24" s="274">
        <v>3</v>
      </c>
      <c r="BA24" s="295"/>
      <c r="BD24" s="293" t="s">
        <v>3</v>
      </c>
      <c r="BE24" s="295"/>
      <c r="BF24" s="293" t="s">
        <v>4</v>
      </c>
      <c r="BG24" s="295"/>
      <c r="BH24" s="293" t="s">
        <v>5</v>
      </c>
      <c r="BI24" s="295"/>
      <c r="BJ24" s="40" t="s">
        <v>6</v>
      </c>
      <c r="BK24" s="18">
        <f>SUM(BK25:BK27)</f>
        <v>-6.088879400678593E-16</v>
      </c>
    </row>
    <row r="25" spans="1:63" ht="11.25" customHeight="1">
      <c r="A25" s="17">
        <f>S25</f>
        <v>3</v>
      </c>
      <c r="B25" s="2" t="str">
        <f>IF(N23="","",N23)</f>
        <v>K0029</v>
      </c>
      <c r="C25" s="2">
        <f>IF(N24="","",N24)</f>
      </c>
      <c r="D25" s="2" t="str">
        <f>IF(N29="","",N29)</f>
        <v>M0008</v>
      </c>
      <c r="E25" s="2">
        <f>IF(N30="","",N30)</f>
      </c>
      <c r="I25" s="2" t="str">
        <f>"2"&amp;O21&amp;N22</f>
        <v>22Runners Up</v>
      </c>
      <c r="J25" s="9" t="str">
        <f>IF(AC25="","",IF(AC22=2,N23,IF(AC25=2,N26,IF(AC28=2,N29,""))))</f>
        <v>M0008</v>
      </c>
      <c r="K25" s="9">
        <f>IF(AC25="","",IF(AC22=2,N24,IF(AC25=2,N27,IF(AC28=2,N30,""))))</f>
        <v>0</v>
      </c>
      <c r="M25" s="41" t="str">
        <f>N22</f>
        <v>Runners Up</v>
      </c>
      <c r="O25" s="36"/>
      <c r="P25" s="36"/>
      <c r="Q25" s="42">
        <f>IF(AT25&gt;0,"",IF(A25=0,"",IF(VLOOKUP(A25,'[1]plan gier'!A:S,19,FALSE)="","",VLOOKUP(A25,'[1]plan gier'!A:S,19,FALSE))))</f>
      </c>
      <c r="R25" s="43" t="s">
        <v>15</v>
      </c>
      <c r="S25" s="90">
        <v>3</v>
      </c>
      <c r="T25" s="269">
        <v>2</v>
      </c>
      <c r="U25" s="270">
        <f>IF(AND(N26&lt;&gt;"",N27&lt;&gt;""),CONCATENATE(VLOOKUP(N26,'[1]zawodnicy'!$A:$E,1,FALSE)," ",VLOOKUP(N26,'[1]zawodnicy'!$A:$E,2,FALSE)," ",VLOOKUP(N26,'[1]zawodnicy'!$A:$E,3,FALSE)," - ",VLOOKUP(N26,'[1]zawodnicy'!$A:$E,4,FALSE)),"")</f>
      </c>
      <c r="V25" s="299"/>
      <c r="W25" s="45" t="str">
        <f>IF(SUM(AN27:AO27)=0,"",AO27&amp;":"&amp;AN27)</f>
        <v>16:21</v>
      </c>
      <c r="X25" s="77"/>
      <c r="Y25" s="48" t="str">
        <f>IF(SUM(AN26:AO26)=0,"",AN26&amp;":"&amp;AO26)</f>
        <v>14:21</v>
      </c>
      <c r="Z25" s="269" t="str">
        <f>IF(SUM(AV26:AW26,AZ26:BA26)=0,"",BD26&amp;":"&amp;BE26)</f>
        <v>62:84</v>
      </c>
      <c r="AA25" s="272" t="str">
        <f>IF(SUM(AV26:AW26,AZ26:BA26)=0,"",BF26&amp;":"&amp;BG26)</f>
        <v>0:4</v>
      </c>
      <c r="AB25" s="272" t="str">
        <f>IF(SUM(AV26:AW26,AZ26:BA26)=0,"",BH26&amp;":"&amp;BI26)</f>
        <v>0:2</v>
      </c>
      <c r="AC25" s="275">
        <f>IF(SUM(BH25:BH27)&gt;0,BJ26,"")</f>
        <v>3</v>
      </c>
      <c r="AD25" s="2"/>
      <c r="AE25" s="11"/>
      <c r="AF25" s="11"/>
      <c r="AG25" s="43" t="s">
        <v>15</v>
      </c>
      <c r="AH25" s="51">
        <f>IF(ISBLANK(S25),"",VLOOKUP(S25,'[1]plan gier'!$X:$AN,12,FALSE))</f>
        <v>21</v>
      </c>
      <c r="AI25" s="52">
        <f>IF(ISBLANK(S25),"",VLOOKUP(S25,'[1]plan gier'!$X:$AN,13,FALSE))</f>
        <v>14</v>
      </c>
      <c r="AJ25" s="52">
        <f>IF(ISBLANK(S25),"",VLOOKUP(S25,'[1]plan gier'!$X:$AN,14,FALSE))</f>
        <v>17</v>
      </c>
      <c r="AK25" s="52">
        <f>IF(ISBLANK(S25),"",VLOOKUP(S25,'[1]plan gier'!$X:$AN,15,FALSE))</f>
        <v>21</v>
      </c>
      <c r="AL25" s="52">
        <f>IF(ISBLANK(S25),"",VLOOKUP(S25,'[1]plan gier'!$X:$AN,16,FALSE))</f>
        <v>21</v>
      </c>
      <c r="AM25" s="52">
        <f>IF(ISBLANK(S25),"",VLOOKUP(S25,'[1]plan gier'!$X:$AN,17,FALSE))</f>
        <v>15</v>
      </c>
      <c r="AN25" s="101">
        <f aca="true" t="shared" si="4" ref="AN25:AS27">IF(AH25="",0,AH25)</f>
        <v>21</v>
      </c>
      <c r="AO25" s="50">
        <f t="shared" si="4"/>
        <v>14</v>
      </c>
      <c r="AP25" s="102">
        <f t="shared" si="4"/>
        <v>17</v>
      </c>
      <c r="AQ25" s="50">
        <f t="shared" si="4"/>
        <v>21</v>
      </c>
      <c r="AR25" s="102">
        <f t="shared" si="4"/>
        <v>21</v>
      </c>
      <c r="AS25" s="50">
        <f t="shared" si="4"/>
        <v>15</v>
      </c>
      <c r="AT25" s="103">
        <f>SUM(AN25:AS25)</f>
        <v>109</v>
      </c>
      <c r="AU25" s="12">
        <v>1</v>
      </c>
      <c r="AV25" s="104"/>
      <c r="AW25" s="105"/>
      <c r="AX25" s="52">
        <f>IF(AH27&gt;AI27,1,0)+IF(AJ27&gt;AK27,1,0)+IF(AL27&gt;AM27,1,0)</f>
        <v>2</v>
      </c>
      <c r="AY25" s="52">
        <f>AV26</f>
        <v>0</v>
      </c>
      <c r="AZ25" s="52">
        <f>IF(AH25&gt;AI25,1,0)+IF(AJ25&gt;AK25,1,0)+IF(AL25&gt;AM25,1,0)</f>
        <v>2</v>
      </c>
      <c r="BA25" s="53">
        <f>AV27</f>
        <v>1</v>
      </c>
      <c r="BD25" s="51">
        <f>AN25+AP25+AR25+AN27+AP27+AR27</f>
        <v>101</v>
      </c>
      <c r="BE25" s="53">
        <f>AO25+AQ25+AS25+AO27+AQ27+AS27</f>
        <v>85</v>
      </c>
      <c r="BF25" s="51">
        <f>AX25+AZ25</f>
        <v>4</v>
      </c>
      <c r="BG25" s="53">
        <f>AY25+BA25</f>
        <v>1</v>
      </c>
      <c r="BH25" s="51">
        <f>IF(AX25&gt;AY25,1,0)+IF(AZ25&gt;BA25,1,0)</f>
        <v>2</v>
      </c>
      <c r="BI25" s="56">
        <f>IF(AY25&gt;AX25,1,0)+IF(BA25&gt;AZ25,1,0)</f>
        <v>0</v>
      </c>
      <c r="BJ25" s="106">
        <f>IF(BH25+BI25=0,"",IF(BK25=MAX(BK25:BK27),1,IF(BK25=MIN(BK25:BK27),3,2)))</f>
        <v>1</v>
      </c>
      <c r="BK25" s="18">
        <f>IF(BH25+BI25&lt;&gt;0,BH25-BI25+(BF25-BG25)/100+(BD25-BE25)/10000,-2)</f>
        <v>2.0315999999999996</v>
      </c>
    </row>
    <row r="26" spans="1:63" ht="11.25" customHeight="1">
      <c r="A26" s="17">
        <f>S26</f>
        <v>11</v>
      </c>
      <c r="B26" s="2" t="str">
        <f>IF(N26="","",N26)</f>
        <v>R0010</v>
      </c>
      <c r="C26" s="2">
        <f>IF(N27="","",N27)</f>
      </c>
      <c r="D26" s="2" t="str">
        <f>IF(N29="","",N29)</f>
        <v>M0008</v>
      </c>
      <c r="E26" s="2">
        <f>IF(N30="","",N30)</f>
      </c>
      <c r="J26" s="9"/>
      <c r="K26" s="17"/>
      <c r="M26" s="41" t="str">
        <f>N22</f>
        <v>Runners Up</v>
      </c>
      <c r="N26" s="34" t="s">
        <v>25</v>
      </c>
      <c r="O26" s="35">
        <f>IF(O21&gt;0,(O21&amp;2)*1,"")</f>
        <v>22</v>
      </c>
      <c r="Q26" s="42">
        <f>IF(AT26&gt;0,"",IF(A26=0,"",IF(VLOOKUP(A26,'[1]plan gier'!A:S,19,FALSE)="","",VLOOKUP(A26,'[1]plan gier'!A:S,19,FALSE))))</f>
      </c>
      <c r="R26" s="43" t="s">
        <v>19</v>
      </c>
      <c r="S26" s="90">
        <v>11</v>
      </c>
      <c r="T26" s="261"/>
      <c r="U26" s="263" t="str">
        <f>IF(AND(N26&lt;&gt;"",N27=""),CONCATENATE(VLOOKUP(N26,'[1]zawodnicy'!$A:$E,1,FALSE)," ",VLOOKUP(N26,'[1]zawodnicy'!$A:$E,2,FALSE)," ",VLOOKUP(N26,'[1]zawodnicy'!$A:$E,3,FALSE)," - ",VLOOKUP(N26,'[1]zawodnicy'!$A:$E,4,FALSE)),"")</f>
        <v>R0010 Marek REGUŁA - Mielec</v>
      </c>
      <c r="V26" s="284"/>
      <c r="W26" s="61" t="str">
        <f>IF(SUM(AP27:AQ27)=0,"",AQ27&amp;":"&amp;AP27)</f>
        <v>19:21</v>
      </c>
      <c r="X26" s="87"/>
      <c r="Y26" s="63" t="str">
        <f>IF(SUM(AP26:AQ26)=0,"",AP26&amp;":"&amp;AQ26)</f>
        <v>13:21</v>
      </c>
      <c r="Z26" s="261"/>
      <c r="AA26" s="265"/>
      <c r="AB26" s="265"/>
      <c r="AC26" s="266"/>
      <c r="AD26" s="2"/>
      <c r="AE26" s="11"/>
      <c r="AF26" s="11"/>
      <c r="AG26" s="43" t="s">
        <v>19</v>
      </c>
      <c r="AH26" s="64">
        <f>IF(ISBLANK(S26),"",VLOOKUP(S26,'[1]plan gier'!$X:$AN,12,FALSE))</f>
        <v>14</v>
      </c>
      <c r="AI26" s="65">
        <f>IF(ISBLANK(S26),"",VLOOKUP(S26,'[1]plan gier'!$X:$AN,13,FALSE))</f>
        <v>21</v>
      </c>
      <c r="AJ26" s="65">
        <f>IF(ISBLANK(S26),"",VLOOKUP(S26,'[1]plan gier'!$X:$AN,14,FALSE))</f>
        <v>13</v>
      </c>
      <c r="AK26" s="65">
        <f>IF(ISBLANK(S26),"",VLOOKUP(S26,'[1]plan gier'!$X:$AN,15,FALSE))</f>
        <v>21</v>
      </c>
      <c r="AL26" s="65">
        <f>IF(ISBLANK(S26),"",VLOOKUP(S26,'[1]plan gier'!$X:$AN,16,FALSE))</f>
        <v>0</v>
      </c>
      <c r="AM26" s="65">
        <f>IF(ISBLANK(S26),"",VLOOKUP(S26,'[1]plan gier'!$X:$AN,17,FALSE))</f>
        <v>0</v>
      </c>
      <c r="AN26" s="107">
        <f t="shared" si="4"/>
        <v>14</v>
      </c>
      <c r="AO26" s="65">
        <f t="shared" si="4"/>
        <v>21</v>
      </c>
      <c r="AP26" s="108">
        <f t="shared" si="4"/>
        <v>13</v>
      </c>
      <c r="AQ26" s="65">
        <f t="shared" si="4"/>
        <v>21</v>
      </c>
      <c r="AR26" s="108">
        <f t="shared" si="4"/>
        <v>0</v>
      </c>
      <c r="AS26" s="65">
        <f t="shared" si="4"/>
        <v>0</v>
      </c>
      <c r="AT26" s="103">
        <f>SUM(AN26:AS26)</f>
        <v>69</v>
      </c>
      <c r="AU26" s="12">
        <v>2</v>
      </c>
      <c r="AV26" s="64">
        <f>IF(AH27&lt;AI27,1,0)+IF(AJ27&lt;AK27,1,0)+IF(AL27&lt;AM27,1,0)</f>
        <v>0</v>
      </c>
      <c r="AW26" s="65">
        <f>AX25</f>
        <v>2</v>
      </c>
      <c r="AX26" s="109"/>
      <c r="AY26" s="110"/>
      <c r="AZ26" s="65">
        <f>IF(AH26&gt;AI26,1,0)+IF(AJ26&gt;AK26,1,0)+IF(AL26&gt;AM26,1,0)</f>
        <v>0</v>
      </c>
      <c r="BA26" s="66">
        <f>AX27</f>
        <v>2</v>
      </c>
      <c r="BD26" s="64">
        <f>AN26+AP26+AR26+AO27+AQ27+AS27</f>
        <v>62</v>
      </c>
      <c r="BE26" s="66">
        <f>AO26+AQ26+AS26+AN27+AP27+AR27</f>
        <v>84</v>
      </c>
      <c r="BF26" s="64">
        <f>AV26+AZ26</f>
        <v>0</v>
      </c>
      <c r="BG26" s="66">
        <f>AW26+BA26</f>
        <v>4</v>
      </c>
      <c r="BH26" s="64">
        <f>IF(AV26&gt;AW26,1,0)+IF(AZ26&gt;BA26,1,0)</f>
        <v>0</v>
      </c>
      <c r="BI26" s="70">
        <f>IF(AW26&gt;AV26,1,0)+IF(BA26&gt;AZ26,1,0)</f>
        <v>2</v>
      </c>
      <c r="BJ26" s="71">
        <f>IF(BH26+BI26=0,"",IF(BK26=MAX(BK25:BK27),1,IF(BK26=MIN(BK25:BK27),3,2)))</f>
        <v>3</v>
      </c>
      <c r="BK26" s="18">
        <f>IF(BH26+BI26&lt;&gt;0,BH26-BI26+(BF26-BG26)/100+(BD26-BE26)/10000,-2)</f>
        <v>-2.0422000000000002</v>
      </c>
    </row>
    <row r="27" spans="1:63" ht="11.25" customHeight="1" thickBot="1">
      <c r="A27" s="17">
        <f>S27</f>
        <v>19</v>
      </c>
      <c r="B27" s="2" t="str">
        <f>IF(N23="","",N23)</f>
        <v>K0029</v>
      </c>
      <c r="C27" s="2">
        <f>IF(N24="","",N24)</f>
      </c>
      <c r="D27" s="2" t="str">
        <f>IF(N26="","",N26)</f>
        <v>R0010</v>
      </c>
      <c r="E27" s="2">
        <f>IF(N27="","",N27)</f>
      </c>
      <c r="I27" s="2" t="str">
        <f>"3"&amp;O21&amp;N22</f>
        <v>32Runners Up</v>
      </c>
      <c r="J27" s="9" t="str">
        <f>IF(AC28="","",IF(AC22=3,N23,IF(AC25=3,N26,IF(AC28=3,N29,""))))</f>
        <v>R0010</v>
      </c>
      <c r="K27" s="9">
        <f>IF(AC28="","",IF(AC22=3,N24,IF(AC25=3,N27,IF(AC28=3,N30,""))))</f>
        <v>0</v>
      </c>
      <c r="M27" s="41" t="str">
        <f>N22</f>
        <v>Runners Up</v>
      </c>
      <c r="N27" s="37"/>
      <c r="O27" s="36"/>
      <c r="P27" s="36"/>
      <c r="Q27" s="42">
        <f>IF(AT27&gt;0,"",IF(A27=0,"",IF(VLOOKUP(A27,'[1]plan gier'!A:S,19,FALSE)="","",VLOOKUP(A27,'[1]plan gier'!A:S,19,FALSE))))</f>
      </c>
      <c r="R27" s="111" t="s">
        <v>22</v>
      </c>
      <c r="S27" s="90">
        <v>19</v>
      </c>
      <c r="T27" s="262"/>
      <c r="U27" s="267">
        <f>IF(N27&lt;&gt;"",CONCATENATE(VLOOKUP(N27,'[1]zawodnicy'!$A:$E,1,FALSE)," ",VLOOKUP(N27,'[1]zawodnicy'!$A:$E,2,FALSE)," ",VLOOKUP(N27,'[1]zawodnicy'!$A:$E,3,FALSE)," - ",VLOOKUP(N27,'[1]zawodnicy'!$A:$E,4,FALSE)),"")</f>
      </c>
      <c r="V27" s="285"/>
      <c r="W27" s="72">
        <f>IF(SUM(AR27:AS27)=0,"",AS27&amp;":"&amp;AR27)</f>
      </c>
      <c r="X27" s="87"/>
      <c r="Y27" s="73">
        <f>IF(SUM(AR26:AS26)=0,"",AR26&amp;":"&amp;AS26)</f>
      </c>
      <c r="Z27" s="262"/>
      <c r="AA27" s="290"/>
      <c r="AB27" s="290"/>
      <c r="AC27" s="292"/>
      <c r="AD27" s="2"/>
      <c r="AE27" s="11"/>
      <c r="AF27" s="11"/>
      <c r="AG27" s="111" t="s">
        <v>22</v>
      </c>
      <c r="AH27" s="83">
        <f>IF(ISBLANK(S27),"",VLOOKUP(S27,'[1]plan gier'!$X:$AN,12,FALSE))</f>
        <v>21</v>
      </c>
      <c r="AI27" s="80">
        <f>IF(ISBLANK(S27),"",VLOOKUP(S27,'[1]plan gier'!$X:$AN,13,FALSE))</f>
        <v>16</v>
      </c>
      <c r="AJ27" s="80">
        <f>IF(ISBLANK(S27),"",VLOOKUP(S27,'[1]plan gier'!$X:$AN,14,FALSE))</f>
        <v>21</v>
      </c>
      <c r="AK27" s="80">
        <f>IF(ISBLANK(S27),"",VLOOKUP(S27,'[1]plan gier'!$X:$AN,15,FALSE))</f>
        <v>19</v>
      </c>
      <c r="AL27" s="80">
        <f>IF(ISBLANK(S27),"",VLOOKUP(S27,'[1]plan gier'!$X:$AN,16,FALSE))</f>
        <v>0</v>
      </c>
      <c r="AM27" s="80">
        <f>IF(ISBLANK(S27),"",VLOOKUP(S27,'[1]plan gier'!$X:$AN,17,FALSE))</f>
        <v>0</v>
      </c>
      <c r="AN27" s="112">
        <f t="shared" si="4"/>
        <v>21</v>
      </c>
      <c r="AO27" s="80">
        <f t="shared" si="4"/>
        <v>16</v>
      </c>
      <c r="AP27" s="113">
        <f t="shared" si="4"/>
        <v>21</v>
      </c>
      <c r="AQ27" s="80">
        <f t="shared" si="4"/>
        <v>19</v>
      </c>
      <c r="AR27" s="113">
        <f t="shared" si="4"/>
        <v>0</v>
      </c>
      <c r="AS27" s="80">
        <f t="shared" si="4"/>
        <v>0</v>
      </c>
      <c r="AT27" s="103">
        <f>SUM(AN27:AS27)</f>
        <v>77</v>
      </c>
      <c r="AU27" s="12">
        <v>3</v>
      </c>
      <c r="AV27" s="83">
        <f>IF(AH25&lt;AI25,1,0)+IF(AJ25&lt;AK25,1,0)+IF(AL25&lt;AM25,1,0)</f>
        <v>1</v>
      </c>
      <c r="AW27" s="80">
        <f>AZ25</f>
        <v>2</v>
      </c>
      <c r="AX27" s="80">
        <f>IF(AH26&lt;AI26,1,0)+IF(AJ26&lt;AK26,1,0)+IF(AL26&lt;AM26,1,0)</f>
        <v>2</v>
      </c>
      <c r="AY27" s="80">
        <f>AZ26</f>
        <v>0</v>
      </c>
      <c r="AZ27" s="114"/>
      <c r="BA27" s="115"/>
      <c r="BD27" s="83">
        <f>AO25+AQ25+AS25+AO26+AQ26+AS26</f>
        <v>92</v>
      </c>
      <c r="BE27" s="85">
        <f>AN25+AP25+AR25+AN26+AP26+AR26</f>
        <v>86</v>
      </c>
      <c r="BF27" s="83">
        <f>AV27+AX27</f>
        <v>3</v>
      </c>
      <c r="BG27" s="85">
        <f>AW27+AY27</f>
        <v>2</v>
      </c>
      <c r="BH27" s="83">
        <f>IF(AV27&gt;AW27,1,0)+IF(AX27&gt;AY27,1,0)</f>
        <v>1</v>
      </c>
      <c r="BI27" s="84">
        <f>IF(AW27&gt;AV27,1,0)+IF(AY27&gt;AX27,1,0)</f>
        <v>1</v>
      </c>
      <c r="BJ27" s="86">
        <f>IF(BH27+BI27=0,"",IF(BK27=MAX(BK25:BK27),1,IF(BK27=MIN(BK25:BK27),3,2)))</f>
        <v>2</v>
      </c>
      <c r="BK27" s="18">
        <f>IF(BH27+BI27&lt;&gt;0,BH27-BI27+(BF27-BG27)/100+(BD27-BE27)/10000,-2)</f>
        <v>0.0106</v>
      </c>
    </row>
    <row r="28" spans="1:59" ht="11.25" customHeight="1">
      <c r="A28" s="2"/>
      <c r="J28" s="36"/>
      <c r="K28" s="36"/>
      <c r="L28" s="36"/>
      <c r="O28" s="36"/>
      <c r="P28" s="36"/>
      <c r="Q28" s="2"/>
      <c r="R28" s="2"/>
      <c r="S28" s="2"/>
      <c r="T28" s="269">
        <v>3</v>
      </c>
      <c r="U28" s="270">
        <f>IF(AND(N29&lt;&gt;"",N30&lt;&gt;""),CONCATENATE(VLOOKUP(N29,'[1]zawodnicy'!$A:$E,1,FALSE)," ",VLOOKUP(N29,'[1]zawodnicy'!$A:$E,2,FALSE)," ",VLOOKUP(N29,'[1]zawodnicy'!$A:$E,3,FALSE)," - ",VLOOKUP(N29,'[1]zawodnicy'!$A:$E,4,FALSE)),"")</f>
      </c>
      <c r="V28" s="299"/>
      <c r="W28" s="45" t="str">
        <f>IF(SUM(AN25:AO25)=0,"",AO25&amp;":"&amp;AN25)</f>
        <v>14:21</v>
      </c>
      <c r="X28" s="47" t="str">
        <f>IF(SUM(AN26:AO26)=0,"",AO26&amp;":"&amp;AN26)</f>
        <v>21:14</v>
      </c>
      <c r="Y28" s="116"/>
      <c r="Z28" s="269" t="str">
        <f>IF(SUM(AV27:AY27)=0,"",BD27&amp;":"&amp;BE27)</f>
        <v>92:86</v>
      </c>
      <c r="AA28" s="272" t="str">
        <f>IF(SUM(AV27:AY27)=0,"",BF27&amp;":"&amp;BG27)</f>
        <v>3:2</v>
      </c>
      <c r="AB28" s="272" t="str">
        <f>IF(SUM(AV27:AY27)=0,"",BH27&amp;":"&amp;BI27)</f>
        <v>1:1</v>
      </c>
      <c r="AC28" s="275">
        <f>IF(SUM(BH25:BH27)&gt;0,BJ27,"")</f>
        <v>2</v>
      </c>
      <c r="AD28" s="2"/>
      <c r="AE28" s="11"/>
      <c r="AF28" s="11"/>
      <c r="BD28" s="17">
        <f>SUM(BD25:BD27)</f>
        <v>255</v>
      </c>
      <c r="BE28" s="17">
        <f>SUM(BE25:BE27)</f>
        <v>255</v>
      </c>
      <c r="BF28" s="17">
        <f>SUM(BF25:BF27)</f>
        <v>7</v>
      </c>
      <c r="BG28" s="17">
        <f>SUM(BG25:BG27)</f>
        <v>7</v>
      </c>
    </row>
    <row r="29" spans="1:63" ht="11.25" customHeight="1">
      <c r="A29" s="17"/>
      <c r="J29" s="17"/>
      <c r="K29" s="17"/>
      <c r="L29" s="17"/>
      <c r="N29" s="34" t="s">
        <v>26</v>
      </c>
      <c r="O29" s="35">
        <f>IF(O21&gt;0,(O21&amp;3)*1,"")</f>
        <v>23</v>
      </c>
      <c r="Q29" s="89"/>
      <c r="R29" s="89"/>
      <c r="S29" s="90"/>
      <c r="T29" s="261"/>
      <c r="U29" s="263" t="str">
        <f>IF(AND(N29&lt;&gt;"",N30=""),CONCATENATE(VLOOKUP(N29,'[1]zawodnicy'!$A:$E,1,FALSE)," ",VLOOKUP(N29,'[1]zawodnicy'!$A:$E,2,FALSE)," ",VLOOKUP(N29,'[1]zawodnicy'!$A:$E,3,FALSE)," - ",VLOOKUP(N29,'[1]zawodnicy'!$A:$E,4,FALSE)),"")</f>
        <v>M0008 Tadeusz MICHALIK - Tarnów</v>
      </c>
      <c r="V29" s="284"/>
      <c r="W29" s="61" t="str">
        <f>IF(SUM(AP25:AQ25)=0,"",AQ25&amp;":"&amp;AP25)</f>
        <v>21:17</v>
      </c>
      <c r="X29" s="32" t="str">
        <f>IF(SUM(AP26:AQ26)=0,"",AQ26&amp;":"&amp;AP26)</f>
        <v>21:13</v>
      </c>
      <c r="Y29" s="117"/>
      <c r="Z29" s="261"/>
      <c r="AA29" s="265"/>
      <c r="AB29" s="265"/>
      <c r="AC29" s="266"/>
      <c r="AD29" s="2"/>
      <c r="AE29" s="11"/>
      <c r="AF29" s="1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11.25" customHeight="1" thickBot="1">
      <c r="A30" s="2"/>
      <c r="J30" s="36"/>
      <c r="K30" s="36"/>
      <c r="L30" s="36"/>
      <c r="N30" s="37"/>
      <c r="O30" s="36"/>
      <c r="P30" s="36"/>
      <c r="Q30" s="2"/>
      <c r="R30" s="2"/>
      <c r="S30" s="2"/>
      <c r="T30" s="286"/>
      <c r="U30" s="296">
        <f>IF(N30&lt;&gt;"",CONCATENATE(VLOOKUP(N30,'[1]zawodnicy'!$A:$E,1,FALSE)," ",VLOOKUP(N30,'[1]zawodnicy'!$A:$E,2,FALSE)," ",VLOOKUP(N30,'[1]zawodnicy'!$A:$E,3,FALSE)," - ",VLOOKUP(N30,'[1]zawodnicy'!$A:$E,4,FALSE)),"")</f>
      </c>
      <c r="V30" s="298"/>
      <c r="W30" s="92" t="str">
        <f>IF(SUM(AR25:AS25)=0,"",AS25&amp;":"&amp;AR25)</f>
        <v>15:21</v>
      </c>
      <c r="X30" s="93">
        <f>IF(SUM(AR26:AS26)=0,"",AS26&amp;":"&amp;AR26)</f>
      </c>
      <c r="Y30" s="94"/>
      <c r="Z30" s="286"/>
      <c r="AA30" s="287"/>
      <c r="AB30" s="287"/>
      <c r="AC30" s="288"/>
      <c r="AD30" s="9"/>
      <c r="AE30" s="11"/>
      <c r="AF30" s="1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ht="11.25" customHeight="1"/>
    <row r="32" ht="11.25" customHeight="1" thickBot="1"/>
    <row r="33" spans="14:32" ht="11.25" customHeight="1" thickBot="1">
      <c r="N33" s="10"/>
      <c r="O33" s="21">
        <v>3</v>
      </c>
      <c r="Q33" s="252" t="str">
        <f>"Grupa "&amp;O33&amp;"."</f>
        <v>Grupa 3.</v>
      </c>
      <c r="R33" s="252"/>
      <c r="S33" s="278"/>
      <c r="T33" s="22" t="s">
        <v>1</v>
      </c>
      <c r="U33" s="254" t="s">
        <v>2</v>
      </c>
      <c r="V33" s="279"/>
      <c r="W33" s="22">
        <v>1</v>
      </c>
      <c r="X33" s="24">
        <v>2</v>
      </c>
      <c r="Y33" s="95">
        <v>3</v>
      </c>
      <c r="Z33" s="96" t="s">
        <v>3</v>
      </c>
      <c r="AA33" s="28" t="s">
        <v>4</v>
      </c>
      <c r="AB33" s="28" t="s">
        <v>5</v>
      </c>
      <c r="AC33" s="97" t="s">
        <v>6</v>
      </c>
      <c r="AD33" s="2"/>
      <c r="AE33" s="11"/>
      <c r="AF33" s="11"/>
    </row>
    <row r="34" spans="10:45" ht="11.25" customHeight="1">
      <c r="J34" s="36"/>
      <c r="K34" s="36"/>
      <c r="L34" s="36"/>
      <c r="N34" s="30" t="s">
        <v>0</v>
      </c>
      <c r="Q34" s="259" t="s">
        <v>9</v>
      </c>
      <c r="R34" s="259"/>
      <c r="S34" s="280" t="s">
        <v>10</v>
      </c>
      <c r="T34" s="281">
        <v>1</v>
      </c>
      <c r="U34" s="282">
        <f>IF(AND(N35&lt;&gt;"",N36&lt;&gt;""),CONCATENATE(VLOOKUP(N35,'[1]zawodnicy'!$A:$E,1,FALSE)," ",VLOOKUP(N35,'[1]zawodnicy'!$A:$E,2,FALSE)," ",VLOOKUP(N35,'[1]zawodnicy'!$A:$E,3,FALSE)," - ",VLOOKUP(N35,'[1]zawodnicy'!$A:$E,4,FALSE)),"")</f>
      </c>
      <c r="V34" s="283"/>
      <c r="W34" s="98"/>
      <c r="X34" s="99" t="str">
        <f>IF(SUM(AN39:AO39)=0,"",AN39&amp;":"&amp;AO39)</f>
        <v>21:23</v>
      </c>
      <c r="Y34" s="100" t="str">
        <f>IF(SUM(AN37:AO37)=0,"",AN37&amp;":"&amp;AO37)</f>
        <v>21:18</v>
      </c>
      <c r="Z34" s="281" t="str">
        <f>IF(SUM(AX37:BA37)=0,"",BD37&amp;":"&amp;BE37)</f>
        <v>103:99</v>
      </c>
      <c r="AA34" s="289" t="str">
        <f>IF(SUM(AX37:BA37)=0,"",BF37&amp;":"&amp;BG37)</f>
        <v>3:2</v>
      </c>
      <c r="AB34" s="289" t="str">
        <f>IF(SUM(AX37:BA37)=0,"",BH37&amp;":"&amp;BI37)</f>
        <v>1:1</v>
      </c>
      <c r="AC34" s="291">
        <f>IF(SUM(BH37:BH39)&gt;0,BJ37,"")</f>
        <v>2</v>
      </c>
      <c r="AD34" s="2"/>
      <c r="AE34" s="11"/>
      <c r="AF34" s="11"/>
      <c r="AG34" s="13"/>
      <c r="AH34" s="256" t="s">
        <v>7</v>
      </c>
      <c r="AI34" s="256"/>
      <c r="AJ34" s="256"/>
      <c r="AK34" s="256"/>
      <c r="AL34" s="256"/>
      <c r="AM34" s="256"/>
      <c r="AN34" s="256" t="s">
        <v>8</v>
      </c>
      <c r="AO34" s="256"/>
      <c r="AP34" s="256"/>
      <c r="AQ34" s="256"/>
      <c r="AR34" s="256"/>
      <c r="AS34" s="256"/>
    </row>
    <row r="35" spans="9:59" ht="11.25" customHeight="1" thickBot="1">
      <c r="I35" s="2" t="str">
        <f>"1"&amp;O33&amp;N34</f>
        <v>13Runners Up</v>
      </c>
      <c r="J35" s="9" t="str">
        <f>IF(AC34="","",IF(AC34=1,N35,IF(AC37=1,N38,IF(AC40=1,N41,""))))</f>
        <v>B0006</v>
      </c>
      <c r="K35" s="9">
        <f>IF(AC34="","",IF(AC34=1,N36,IF(AC37=1,N39,IF(AC40=1,N42,""))))</f>
        <v>0</v>
      </c>
      <c r="L35" s="9"/>
      <c r="N35" s="34" t="s">
        <v>27</v>
      </c>
      <c r="O35" s="35">
        <f>IF(O33&gt;0,(O33&amp;1)*1,"")</f>
        <v>31</v>
      </c>
      <c r="Q35" s="259"/>
      <c r="R35" s="259"/>
      <c r="S35" s="280"/>
      <c r="T35" s="261"/>
      <c r="U35" s="263" t="str">
        <f>IF(AND(N35&lt;&gt;"",N36=""),CONCATENATE(VLOOKUP(N35,'[1]zawodnicy'!$A:$E,1,FALSE)," ",VLOOKUP(N35,'[1]zawodnicy'!$A:$E,2,FALSE)," ",VLOOKUP(N35,'[1]zawodnicy'!$A:$E,3,FALSE)," - ",VLOOKUP(N35,'[1]zawodnicy'!$A:$E,4,FALSE)),"")</f>
        <v>N0002 Robert NOWAK - Mielec</v>
      </c>
      <c r="V35" s="284"/>
      <c r="W35" s="31"/>
      <c r="X35" s="32" t="str">
        <f>IF(SUM(AP39:AQ39)=0,"",AP39&amp;":"&amp;AQ39)</f>
        <v>21:17</v>
      </c>
      <c r="Y35" s="63" t="str">
        <f>IF(SUM(AP37:AQ37)=0,"",AP37&amp;":"&amp;AQ37)</f>
        <v>22:20</v>
      </c>
      <c r="Z35" s="261"/>
      <c r="AA35" s="265"/>
      <c r="AB35" s="265"/>
      <c r="AC35" s="266"/>
      <c r="AD35" s="2"/>
      <c r="AE35" s="11"/>
      <c r="AF35" s="11"/>
      <c r="AG35" s="13"/>
      <c r="BD35" s="17">
        <f>SUM(BD37:BD39)</f>
        <v>272</v>
      </c>
      <c r="BE35" s="17">
        <f>SUM(BE37:BE39)</f>
        <v>272</v>
      </c>
      <c r="BF35" s="17">
        <f>SUM(BF37:BF39)</f>
        <v>7</v>
      </c>
      <c r="BG35" s="17">
        <f>SUM(BG37:BG39)</f>
        <v>7</v>
      </c>
    </row>
    <row r="36" spans="10:63" ht="11.25" customHeight="1" thickBot="1">
      <c r="J36" s="9"/>
      <c r="K36" s="36"/>
      <c r="L36" s="36"/>
      <c r="N36" s="37"/>
      <c r="O36" s="36"/>
      <c r="P36" s="36"/>
      <c r="Q36" s="259"/>
      <c r="R36" s="259"/>
      <c r="S36" s="280"/>
      <c r="T36" s="262"/>
      <c r="U36" s="267">
        <f>IF(N36&lt;&gt;"",CONCATENATE(VLOOKUP(N36,'[1]zawodnicy'!$A:$E,1,FALSE)," ",VLOOKUP(N36,'[1]zawodnicy'!$A:$E,2,FALSE)," ",VLOOKUP(N36,'[1]zawodnicy'!$A:$E,3,FALSE)," - ",VLOOKUP(N36,'[1]zawodnicy'!$A:$E,4,FALSE)),"")</f>
      </c>
      <c r="V36" s="285"/>
      <c r="W36" s="31"/>
      <c r="X36" s="38" t="str">
        <f>IF(SUM(AR39:AS39)=0,"",AR39&amp;":"&amp;AS39)</f>
        <v>18:21</v>
      </c>
      <c r="Y36" s="73">
        <f>IF(SUM(AR37:AS37)=0,"",AR37&amp;":"&amp;AS37)</f>
      </c>
      <c r="Z36" s="262"/>
      <c r="AA36" s="290"/>
      <c r="AB36" s="290"/>
      <c r="AC36" s="292"/>
      <c r="AD36" s="2"/>
      <c r="AE36" s="11"/>
      <c r="AF36" s="11"/>
      <c r="AG36" s="13"/>
      <c r="AH36" s="293" t="s">
        <v>12</v>
      </c>
      <c r="AI36" s="294"/>
      <c r="AJ36" s="274" t="s">
        <v>13</v>
      </c>
      <c r="AK36" s="294"/>
      <c r="AL36" s="274" t="s">
        <v>14</v>
      </c>
      <c r="AM36" s="295"/>
      <c r="AN36" s="293" t="s">
        <v>12</v>
      </c>
      <c r="AO36" s="294"/>
      <c r="AP36" s="274" t="s">
        <v>13</v>
      </c>
      <c r="AQ36" s="294"/>
      <c r="AR36" s="274" t="s">
        <v>14</v>
      </c>
      <c r="AS36" s="294"/>
      <c r="AT36" s="11"/>
      <c r="AU36" s="11"/>
      <c r="AV36" s="293">
        <v>1</v>
      </c>
      <c r="AW36" s="294"/>
      <c r="AX36" s="274">
        <v>2</v>
      </c>
      <c r="AY36" s="294"/>
      <c r="AZ36" s="274">
        <v>3</v>
      </c>
      <c r="BA36" s="295"/>
      <c r="BD36" s="293" t="s">
        <v>3</v>
      </c>
      <c r="BE36" s="295"/>
      <c r="BF36" s="293" t="s">
        <v>4</v>
      </c>
      <c r="BG36" s="295"/>
      <c r="BH36" s="293" t="s">
        <v>5</v>
      </c>
      <c r="BI36" s="295"/>
      <c r="BJ36" s="40" t="s">
        <v>6</v>
      </c>
      <c r="BK36" s="18">
        <f>SUM(BK37:BK39)</f>
        <v>0</v>
      </c>
    </row>
    <row r="37" spans="1:63" ht="11.25" customHeight="1">
      <c r="A37" s="17">
        <f>S37</f>
        <v>4</v>
      </c>
      <c r="B37" s="2" t="str">
        <f>IF(N35="","",N35)</f>
        <v>N0002</v>
      </c>
      <c r="C37" s="2">
        <f>IF(N36="","",N36)</f>
      </c>
      <c r="D37" s="2" t="str">
        <f>IF(N41="","",N41)</f>
        <v>K0034</v>
      </c>
      <c r="E37" s="2">
        <f>IF(N42="","",N42)</f>
      </c>
      <c r="I37" s="2" t="str">
        <f>"2"&amp;O33&amp;N34</f>
        <v>23Runners Up</v>
      </c>
      <c r="J37" s="9" t="str">
        <f>IF(AC37="","",IF(AC34=2,N35,IF(AC37=2,N38,IF(AC40=2,N41,""))))</f>
        <v>N0002</v>
      </c>
      <c r="K37" s="9">
        <f>IF(AC37="","",IF(AC34=2,N36,IF(AC37=2,N39,IF(AC40=2,N42,""))))</f>
        <v>0</v>
      </c>
      <c r="M37" s="41" t="str">
        <f>N34</f>
        <v>Runners Up</v>
      </c>
      <c r="O37" s="36"/>
      <c r="P37" s="36"/>
      <c r="Q37" s="42">
        <f>IF(AT37&gt;0,"",IF(A37=0,"",IF(VLOOKUP(A37,'[1]plan gier'!A:S,19,FALSE)="","",VLOOKUP(A37,'[1]plan gier'!A:S,19,FALSE))))</f>
      </c>
      <c r="R37" s="43" t="s">
        <v>15</v>
      </c>
      <c r="S37" s="90">
        <v>4</v>
      </c>
      <c r="T37" s="269">
        <v>2</v>
      </c>
      <c r="U37" s="270">
        <f>IF(AND(N38&lt;&gt;"",N39&lt;&gt;""),CONCATENATE(VLOOKUP(N38,'[1]zawodnicy'!$A:$E,1,FALSE)," ",VLOOKUP(N38,'[1]zawodnicy'!$A:$E,2,FALSE)," ",VLOOKUP(N38,'[1]zawodnicy'!$A:$E,3,FALSE)," - ",VLOOKUP(N38,'[1]zawodnicy'!$A:$E,4,FALSE)),"")</f>
      </c>
      <c r="V37" s="299"/>
      <c r="W37" s="45" t="str">
        <f>IF(SUM(AN39:AO39)=0,"",AO39&amp;":"&amp;AN39)</f>
        <v>23:21</v>
      </c>
      <c r="X37" s="77"/>
      <c r="Y37" s="48" t="str">
        <f>IF(SUM(AN38:AO38)=0,"",AN38&amp;":"&amp;AO38)</f>
        <v>21:13</v>
      </c>
      <c r="Z37" s="269" t="str">
        <f>IF(SUM(AV38:AW38,AZ38:BA38)=0,"",BD38&amp;":"&amp;BE38)</f>
        <v>103:88</v>
      </c>
      <c r="AA37" s="272" t="str">
        <f>IF(SUM(AV38:AW38,AZ38:BA38)=0,"",BF38&amp;":"&amp;BG38)</f>
        <v>4:1</v>
      </c>
      <c r="AB37" s="272" t="str">
        <f>IF(SUM(AV38:AW38,AZ38:BA38)=0,"",BH38&amp;":"&amp;BI38)</f>
        <v>2:0</v>
      </c>
      <c r="AC37" s="275">
        <f>IF(SUM(BH37:BH39)&gt;0,BJ38,"")</f>
        <v>1</v>
      </c>
      <c r="AD37" s="2"/>
      <c r="AE37" s="11"/>
      <c r="AF37" s="11"/>
      <c r="AG37" s="43" t="s">
        <v>15</v>
      </c>
      <c r="AH37" s="51">
        <f>IF(ISBLANK(S37),"",VLOOKUP(S37,'[1]plan gier'!$X:$AN,12,FALSE))</f>
        <v>21</v>
      </c>
      <c r="AI37" s="52">
        <f>IF(ISBLANK(S37),"",VLOOKUP(S37,'[1]plan gier'!$X:$AN,13,FALSE))</f>
        <v>18</v>
      </c>
      <c r="AJ37" s="52">
        <f>IF(ISBLANK(S37),"",VLOOKUP(S37,'[1]plan gier'!$X:$AN,14,FALSE))</f>
        <v>22</v>
      </c>
      <c r="AK37" s="52">
        <f>IF(ISBLANK(S37),"",VLOOKUP(S37,'[1]plan gier'!$X:$AN,15,FALSE))</f>
        <v>20</v>
      </c>
      <c r="AL37" s="52">
        <f>IF(ISBLANK(S37),"",VLOOKUP(S37,'[1]plan gier'!$X:$AN,16,FALSE))</f>
        <v>0</v>
      </c>
      <c r="AM37" s="52">
        <f>IF(ISBLANK(S37),"",VLOOKUP(S37,'[1]plan gier'!$X:$AN,17,FALSE))</f>
        <v>0</v>
      </c>
      <c r="AN37" s="101">
        <f aca="true" t="shared" si="5" ref="AN37:AS39">IF(AH37="",0,AH37)</f>
        <v>21</v>
      </c>
      <c r="AO37" s="50">
        <f t="shared" si="5"/>
        <v>18</v>
      </c>
      <c r="AP37" s="102">
        <f t="shared" si="5"/>
        <v>22</v>
      </c>
      <c r="AQ37" s="50">
        <f t="shared" si="5"/>
        <v>20</v>
      </c>
      <c r="AR37" s="102">
        <f t="shared" si="5"/>
        <v>0</v>
      </c>
      <c r="AS37" s="50">
        <f t="shared" si="5"/>
        <v>0</v>
      </c>
      <c r="AT37" s="103">
        <f>SUM(AN37:AS37)</f>
        <v>81</v>
      </c>
      <c r="AU37" s="12">
        <v>1</v>
      </c>
      <c r="AV37" s="104"/>
      <c r="AW37" s="105"/>
      <c r="AX37" s="52">
        <f>IF(AH39&gt;AI39,1,0)+IF(AJ39&gt;AK39,1,0)+IF(AL39&gt;AM39,1,0)</f>
        <v>1</v>
      </c>
      <c r="AY37" s="52">
        <f>AV38</f>
        <v>2</v>
      </c>
      <c r="AZ37" s="52">
        <f>IF(AH37&gt;AI37,1,0)+IF(AJ37&gt;AK37,1,0)+IF(AL37&gt;AM37,1,0)</f>
        <v>2</v>
      </c>
      <c r="BA37" s="53">
        <f>AV39</f>
        <v>0</v>
      </c>
      <c r="BD37" s="51">
        <f>AN37+AP37+AR37+AN39+AP39+AR39</f>
        <v>103</v>
      </c>
      <c r="BE37" s="53">
        <f>AO37+AQ37+AS37+AO39+AQ39+AS39</f>
        <v>99</v>
      </c>
      <c r="BF37" s="51">
        <f>AX37+AZ37</f>
        <v>3</v>
      </c>
      <c r="BG37" s="53">
        <f>AY37+BA37</f>
        <v>2</v>
      </c>
      <c r="BH37" s="51">
        <f>IF(AX37&gt;AY37,1,0)+IF(AZ37&gt;BA37,1,0)</f>
        <v>1</v>
      </c>
      <c r="BI37" s="56">
        <f>IF(AY37&gt;AX37,1,0)+IF(BA37&gt;AZ37,1,0)</f>
        <v>1</v>
      </c>
      <c r="BJ37" s="106">
        <f>IF(BH37+BI37=0,"",IF(BK37=MAX(BK37:BK39),1,IF(BK37=MIN(BK37:BK39),3,2)))</f>
        <v>2</v>
      </c>
      <c r="BK37" s="18">
        <f>IF(BH37+BI37&lt;&gt;0,BH37-BI37+(BF37-BG37)/100+(BD37-BE37)/10000,-2)</f>
        <v>0.0104</v>
      </c>
    </row>
    <row r="38" spans="1:63" ht="11.25" customHeight="1">
      <c r="A38" s="17">
        <f>S38</f>
        <v>12</v>
      </c>
      <c r="B38" s="2" t="str">
        <f>IF(N38="","",N38)</f>
        <v>B0006</v>
      </c>
      <c r="C38" s="2">
        <f>IF(N39="","",N39)</f>
      </c>
      <c r="D38" s="2" t="str">
        <f>IF(N41="","",N41)</f>
        <v>K0034</v>
      </c>
      <c r="E38" s="2">
        <f>IF(N42="","",N42)</f>
      </c>
      <c r="J38" s="9"/>
      <c r="K38" s="17"/>
      <c r="M38" s="41" t="str">
        <f>N34</f>
        <v>Runners Up</v>
      </c>
      <c r="N38" s="34" t="s">
        <v>28</v>
      </c>
      <c r="O38" s="35">
        <f>IF(O33&gt;0,(O33&amp;2)*1,"")</f>
        <v>32</v>
      </c>
      <c r="Q38" s="42">
        <f>IF(AT38&gt;0,"",IF(A38=0,"",IF(VLOOKUP(A38,'[1]plan gier'!A:S,19,FALSE)="","",VLOOKUP(A38,'[1]plan gier'!A:S,19,FALSE))))</f>
      </c>
      <c r="R38" s="43" t="s">
        <v>19</v>
      </c>
      <c r="S38" s="90">
        <v>12</v>
      </c>
      <c r="T38" s="261"/>
      <c r="U38" s="263" t="str">
        <f>IF(AND(N38&lt;&gt;"",N39=""),CONCATENATE(VLOOKUP(N38,'[1]zawodnicy'!$A:$E,1,FALSE)," ",VLOOKUP(N38,'[1]zawodnicy'!$A:$E,2,FALSE)," ",VLOOKUP(N38,'[1]zawodnicy'!$A:$E,3,FALSE)," - ",VLOOKUP(N38,'[1]zawodnicy'!$A:$E,4,FALSE)),"")</f>
        <v>B0006 Adrian BOGDAN - Nowa Dęba</v>
      </c>
      <c r="V38" s="284"/>
      <c r="W38" s="61" t="str">
        <f>IF(SUM(AP39:AQ39)=0,"",AQ39&amp;":"&amp;AP39)</f>
        <v>17:21</v>
      </c>
      <c r="X38" s="87"/>
      <c r="Y38" s="63" t="str">
        <f>IF(SUM(AP38:AQ38)=0,"",AP38&amp;":"&amp;AQ38)</f>
        <v>21:15</v>
      </c>
      <c r="Z38" s="261"/>
      <c r="AA38" s="265"/>
      <c r="AB38" s="265"/>
      <c r="AC38" s="266"/>
      <c r="AD38" s="2"/>
      <c r="AE38" s="11"/>
      <c r="AF38" s="11"/>
      <c r="AG38" s="43" t="s">
        <v>19</v>
      </c>
      <c r="AH38" s="64">
        <f>IF(ISBLANK(S38),"",VLOOKUP(S38,'[1]plan gier'!$X:$AN,12,FALSE))</f>
        <v>21</v>
      </c>
      <c r="AI38" s="65">
        <f>IF(ISBLANK(S38),"",VLOOKUP(S38,'[1]plan gier'!$X:$AN,13,FALSE))</f>
        <v>13</v>
      </c>
      <c r="AJ38" s="65">
        <f>IF(ISBLANK(S38),"",VLOOKUP(S38,'[1]plan gier'!$X:$AN,14,FALSE))</f>
        <v>21</v>
      </c>
      <c r="AK38" s="65">
        <f>IF(ISBLANK(S38),"",VLOOKUP(S38,'[1]plan gier'!$X:$AN,15,FALSE))</f>
        <v>15</v>
      </c>
      <c r="AL38" s="65">
        <f>IF(ISBLANK(S38),"",VLOOKUP(S38,'[1]plan gier'!$X:$AN,16,FALSE))</f>
        <v>0</v>
      </c>
      <c r="AM38" s="65">
        <f>IF(ISBLANK(S38),"",VLOOKUP(S38,'[1]plan gier'!$X:$AN,17,FALSE))</f>
        <v>0</v>
      </c>
      <c r="AN38" s="107">
        <f t="shared" si="5"/>
        <v>21</v>
      </c>
      <c r="AO38" s="65">
        <f t="shared" si="5"/>
        <v>13</v>
      </c>
      <c r="AP38" s="108">
        <f t="shared" si="5"/>
        <v>21</v>
      </c>
      <c r="AQ38" s="65">
        <f t="shared" si="5"/>
        <v>15</v>
      </c>
      <c r="AR38" s="108">
        <f t="shared" si="5"/>
        <v>0</v>
      </c>
      <c r="AS38" s="65">
        <f t="shared" si="5"/>
        <v>0</v>
      </c>
      <c r="AT38" s="103">
        <f>SUM(AN38:AS38)</f>
        <v>70</v>
      </c>
      <c r="AU38" s="12">
        <v>2</v>
      </c>
      <c r="AV38" s="64">
        <f>IF(AH39&lt;AI39,1,0)+IF(AJ39&lt;AK39,1,0)+IF(AL39&lt;AM39,1,0)</f>
        <v>2</v>
      </c>
      <c r="AW38" s="65">
        <f>AX37</f>
        <v>1</v>
      </c>
      <c r="AX38" s="109"/>
      <c r="AY38" s="110"/>
      <c r="AZ38" s="65">
        <f>IF(AH38&gt;AI38,1,0)+IF(AJ38&gt;AK38,1,0)+IF(AL38&gt;AM38,1,0)</f>
        <v>2</v>
      </c>
      <c r="BA38" s="66">
        <f>AX39</f>
        <v>0</v>
      </c>
      <c r="BD38" s="64">
        <f>AN38+AP38+AR38+AO39+AQ39+AS39</f>
        <v>103</v>
      </c>
      <c r="BE38" s="66">
        <f>AO38+AQ38+AS38+AN39+AP39+AR39</f>
        <v>88</v>
      </c>
      <c r="BF38" s="64">
        <f>AV38+AZ38</f>
        <v>4</v>
      </c>
      <c r="BG38" s="66">
        <f>AW38+BA38</f>
        <v>1</v>
      </c>
      <c r="BH38" s="64">
        <f>IF(AV38&gt;AW38,1,0)+IF(AZ38&gt;BA38,1,0)</f>
        <v>2</v>
      </c>
      <c r="BI38" s="70">
        <f>IF(AW38&gt;AV38,1,0)+IF(BA38&gt;AZ38,1,0)</f>
        <v>0</v>
      </c>
      <c r="BJ38" s="71">
        <f>IF(BH38+BI38=0,"",IF(BK38=MAX(BK37:BK39),1,IF(BK38=MIN(BK37:BK39),3,2)))</f>
        <v>1</v>
      </c>
      <c r="BK38" s="18">
        <f>IF(BH38+BI38&lt;&gt;0,BH38-BI38+(BF38-BG38)/100+(BD38-BE38)/10000,-2)</f>
        <v>2.0315</v>
      </c>
    </row>
    <row r="39" spans="1:63" ht="11.25" customHeight="1" thickBot="1">
      <c r="A39" s="17">
        <f>S39</f>
        <v>20</v>
      </c>
      <c r="B39" s="2" t="str">
        <f>IF(N35="","",N35)</f>
        <v>N0002</v>
      </c>
      <c r="C39" s="2">
        <f>IF(N36="","",N36)</f>
      </c>
      <c r="D39" s="2" t="str">
        <f>IF(N38="","",N38)</f>
        <v>B0006</v>
      </c>
      <c r="E39" s="2">
        <f>IF(N39="","",N39)</f>
      </c>
      <c r="I39" s="2" t="str">
        <f>"3"&amp;O33&amp;N34</f>
        <v>33Runners Up</v>
      </c>
      <c r="J39" s="9" t="str">
        <f>IF(AC40="","",IF(AC34=3,N35,IF(AC37=3,N38,IF(AC40=3,N41,""))))</f>
        <v>K0034</v>
      </c>
      <c r="K39" s="9">
        <f>IF(AC40="","",IF(AC34=3,N36,IF(AC37=3,N39,IF(AC40=3,N42,""))))</f>
        <v>0</v>
      </c>
      <c r="M39" s="41" t="str">
        <f>N34</f>
        <v>Runners Up</v>
      </c>
      <c r="N39" s="37"/>
      <c r="O39" s="36"/>
      <c r="P39" s="36"/>
      <c r="Q39" s="42">
        <f>IF(AT39&gt;0,"",IF(A39=0,"",IF(VLOOKUP(A39,'[1]plan gier'!A:S,19,FALSE)="","",VLOOKUP(A39,'[1]plan gier'!A:S,19,FALSE))))</f>
      </c>
      <c r="R39" s="111" t="s">
        <v>22</v>
      </c>
      <c r="S39" s="90">
        <v>20</v>
      </c>
      <c r="T39" s="262"/>
      <c r="U39" s="267">
        <f>IF(N39&lt;&gt;"",CONCATENATE(VLOOKUP(N39,'[1]zawodnicy'!$A:$E,1,FALSE)," ",VLOOKUP(N39,'[1]zawodnicy'!$A:$E,2,FALSE)," ",VLOOKUP(N39,'[1]zawodnicy'!$A:$E,3,FALSE)," - ",VLOOKUP(N39,'[1]zawodnicy'!$A:$E,4,FALSE)),"")</f>
      </c>
      <c r="V39" s="285"/>
      <c r="W39" s="72" t="str">
        <f>IF(SUM(AR39:AS39)=0,"",AS39&amp;":"&amp;AR39)</f>
        <v>21:18</v>
      </c>
      <c r="X39" s="87"/>
      <c r="Y39" s="73">
        <f>IF(SUM(AR38:AS38)=0,"",AR38&amp;":"&amp;AS38)</f>
      </c>
      <c r="Z39" s="262"/>
      <c r="AA39" s="290"/>
      <c r="AB39" s="290"/>
      <c r="AC39" s="292"/>
      <c r="AD39" s="2"/>
      <c r="AE39" s="11"/>
      <c r="AF39" s="11"/>
      <c r="AG39" s="111" t="s">
        <v>22</v>
      </c>
      <c r="AH39" s="83">
        <f>IF(ISBLANK(S39),"",VLOOKUP(S39,'[1]plan gier'!$X:$AN,12,FALSE))</f>
        <v>21</v>
      </c>
      <c r="AI39" s="80">
        <f>IF(ISBLANK(S39),"",VLOOKUP(S39,'[1]plan gier'!$X:$AN,13,FALSE))</f>
        <v>23</v>
      </c>
      <c r="AJ39" s="80">
        <f>IF(ISBLANK(S39),"",VLOOKUP(S39,'[1]plan gier'!$X:$AN,14,FALSE))</f>
        <v>21</v>
      </c>
      <c r="AK39" s="80">
        <f>IF(ISBLANK(S39),"",VLOOKUP(S39,'[1]plan gier'!$X:$AN,15,FALSE))</f>
        <v>17</v>
      </c>
      <c r="AL39" s="80">
        <f>IF(ISBLANK(S39),"",VLOOKUP(S39,'[1]plan gier'!$X:$AN,16,FALSE))</f>
        <v>18</v>
      </c>
      <c r="AM39" s="80">
        <f>IF(ISBLANK(S39),"",VLOOKUP(S39,'[1]plan gier'!$X:$AN,17,FALSE))</f>
        <v>21</v>
      </c>
      <c r="AN39" s="112">
        <f t="shared" si="5"/>
        <v>21</v>
      </c>
      <c r="AO39" s="80">
        <f t="shared" si="5"/>
        <v>23</v>
      </c>
      <c r="AP39" s="113">
        <f t="shared" si="5"/>
        <v>21</v>
      </c>
      <c r="AQ39" s="80">
        <f t="shared" si="5"/>
        <v>17</v>
      </c>
      <c r="AR39" s="113">
        <f t="shared" si="5"/>
        <v>18</v>
      </c>
      <c r="AS39" s="80">
        <f t="shared" si="5"/>
        <v>21</v>
      </c>
      <c r="AT39" s="103">
        <f>SUM(AN39:AS39)</f>
        <v>121</v>
      </c>
      <c r="AU39" s="12">
        <v>3</v>
      </c>
      <c r="AV39" s="83">
        <f>IF(AH37&lt;AI37,1,0)+IF(AJ37&lt;AK37,1,0)+IF(AL37&lt;AM37,1,0)</f>
        <v>0</v>
      </c>
      <c r="AW39" s="80">
        <f>AZ37</f>
        <v>2</v>
      </c>
      <c r="AX39" s="80">
        <f>IF(AH38&lt;AI38,1,0)+IF(AJ38&lt;AK38,1,0)+IF(AL38&lt;AM38,1,0)</f>
        <v>0</v>
      </c>
      <c r="AY39" s="80">
        <f>AZ38</f>
        <v>2</v>
      </c>
      <c r="AZ39" s="114"/>
      <c r="BA39" s="115"/>
      <c r="BD39" s="83">
        <f>AO37+AQ37+AS37+AO38+AQ38+AS38</f>
        <v>66</v>
      </c>
      <c r="BE39" s="85">
        <f>AN37+AP37+AR37+AN38+AP38+AR38</f>
        <v>85</v>
      </c>
      <c r="BF39" s="83">
        <f>AV39+AX39</f>
        <v>0</v>
      </c>
      <c r="BG39" s="85">
        <f>AW39+AY39</f>
        <v>4</v>
      </c>
      <c r="BH39" s="83">
        <f>IF(AV39&gt;AW39,1,0)+IF(AX39&gt;AY39,1,0)</f>
        <v>0</v>
      </c>
      <c r="BI39" s="84">
        <f>IF(AW39&gt;AV39,1,0)+IF(AY39&gt;AX39,1,0)</f>
        <v>2</v>
      </c>
      <c r="BJ39" s="86">
        <f>IF(BH39+BI39=0,"",IF(BK39=MAX(BK37:BK39),1,IF(BK39=MIN(BK37:BK39),3,2)))</f>
        <v>3</v>
      </c>
      <c r="BK39" s="18">
        <f>IF(BH39+BI39&lt;&gt;0,BH39-BI39+(BF39-BG39)/100+(BD39-BE39)/10000,-2)</f>
        <v>-2.0419</v>
      </c>
    </row>
    <row r="40" spans="1:59" ht="11.25" customHeight="1">
      <c r="A40" s="2"/>
      <c r="J40" s="36"/>
      <c r="K40" s="36"/>
      <c r="L40" s="36"/>
      <c r="O40" s="36"/>
      <c r="P40" s="36"/>
      <c r="Q40" s="2"/>
      <c r="R40" s="2"/>
      <c r="S40" s="2"/>
      <c r="T40" s="269">
        <v>3</v>
      </c>
      <c r="U40" s="270">
        <f>IF(AND(N41&lt;&gt;"",N42&lt;&gt;""),CONCATENATE(VLOOKUP(N41,'[1]zawodnicy'!$A:$E,1,FALSE)," ",VLOOKUP(N41,'[1]zawodnicy'!$A:$E,2,FALSE)," ",VLOOKUP(N41,'[1]zawodnicy'!$A:$E,3,FALSE)," - ",VLOOKUP(N41,'[1]zawodnicy'!$A:$E,4,FALSE)),"")</f>
      </c>
      <c r="V40" s="299"/>
      <c r="W40" s="45" t="str">
        <f>IF(SUM(AN37:AO37)=0,"",AO37&amp;":"&amp;AN37)</f>
        <v>18:21</v>
      </c>
      <c r="X40" s="47" t="str">
        <f>IF(SUM(AN38:AO38)=0,"",AO38&amp;":"&amp;AN38)</f>
        <v>13:21</v>
      </c>
      <c r="Y40" s="116"/>
      <c r="Z40" s="269" t="str">
        <f>IF(SUM(AV39:AY39)=0,"",BD39&amp;":"&amp;BE39)</f>
        <v>66:85</v>
      </c>
      <c r="AA40" s="272" t="str">
        <f>IF(SUM(AV39:AY39)=0,"",BF39&amp;":"&amp;BG39)</f>
        <v>0:4</v>
      </c>
      <c r="AB40" s="272" t="str">
        <f>IF(SUM(AV39:AY39)=0,"",BH39&amp;":"&amp;BI39)</f>
        <v>0:2</v>
      </c>
      <c r="AC40" s="275">
        <f>IF(SUM(BH37:BH39)&gt;0,BJ39,"")</f>
        <v>3</v>
      </c>
      <c r="AD40" s="2"/>
      <c r="AE40" s="11"/>
      <c r="AF40" s="11"/>
      <c r="BD40" s="17">
        <f>SUM(BD37:BD39)</f>
        <v>272</v>
      </c>
      <c r="BE40" s="17">
        <f>SUM(BE37:BE39)</f>
        <v>272</v>
      </c>
      <c r="BF40" s="17">
        <f>SUM(BF37:BF39)</f>
        <v>7</v>
      </c>
      <c r="BG40" s="17">
        <f>SUM(BG37:BG39)</f>
        <v>7</v>
      </c>
    </row>
    <row r="41" spans="1:63" ht="11.25" customHeight="1">
      <c r="A41" s="17"/>
      <c r="J41" s="17"/>
      <c r="K41" s="17"/>
      <c r="L41" s="17"/>
      <c r="N41" s="34" t="s">
        <v>29</v>
      </c>
      <c r="O41" s="35">
        <f>IF(O33&gt;0,(O33&amp;3)*1,"")</f>
        <v>33</v>
      </c>
      <c r="Q41" s="89"/>
      <c r="R41" s="89"/>
      <c r="S41" s="90"/>
      <c r="T41" s="261"/>
      <c r="U41" s="263" t="str">
        <f>IF(AND(N41&lt;&gt;"",N42=""),CONCATENATE(VLOOKUP(N41,'[1]zawodnicy'!$A:$E,1,FALSE)," ",VLOOKUP(N41,'[1]zawodnicy'!$A:$E,2,FALSE)," ",VLOOKUP(N41,'[1]zawodnicy'!$A:$E,3,FALSE)," - ",VLOOKUP(N41,'[1]zawodnicy'!$A:$E,4,FALSE)),"")</f>
        <v>K0034 Marcin KOWALIK - Rzeszów</v>
      </c>
      <c r="V41" s="284"/>
      <c r="W41" s="61" t="str">
        <f>IF(SUM(AP37:AQ37)=0,"",AQ37&amp;":"&amp;AP37)</f>
        <v>20:22</v>
      </c>
      <c r="X41" s="32" t="str">
        <f>IF(SUM(AP38:AQ38)=0,"",AQ38&amp;":"&amp;AP38)</f>
        <v>15:21</v>
      </c>
      <c r="Y41" s="117"/>
      <c r="Z41" s="261"/>
      <c r="AA41" s="265"/>
      <c r="AB41" s="265"/>
      <c r="AC41" s="266"/>
      <c r="AD41" s="2"/>
      <c r="AE41" s="11"/>
      <c r="AF41" s="1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1.25" customHeight="1" thickBot="1">
      <c r="A42" s="2"/>
      <c r="J42" s="36"/>
      <c r="K42" s="36"/>
      <c r="L42" s="36"/>
      <c r="N42" s="37"/>
      <c r="O42" s="36"/>
      <c r="P42" s="36"/>
      <c r="Q42" s="2"/>
      <c r="R42" s="2"/>
      <c r="S42" s="2"/>
      <c r="T42" s="286"/>
      <c r="U42" s="296">
        <f>IF(N42&lt;&gt;"",CONCATENATE(VLOOKUP(N42,'[1]zawodnicy'!$A:$E,1,FALSE)," ",VLOOKUP(N42,'[1]zawodnicy'!$A:$E,2,FALSE)," ",VLOOKUP(N42,'[1]zawodnicy'!$A:$E,3,FALSE)," - ",VLOOKUP(N42,'[1]zawodnicy'!$A:$E,4,FALSE)),"")</f>
      </c>
      <c r="V42" s="298"/>
      <c r="W42" s="92">
        <f>IF(SUM(AR37:AS37)=0,"",AS37&amp;":"&amp;AR37)</f>
      </c>
      <c r="X42" s="93">
        <f>IF(SUM(AR38:AS38)=0,"",AS38&amp;":"&amp;AR38)</f>
      </c>
      <c r="Y42" s="94"/>
      <c r="Z42" s="286"/>
      <c r="AA42" s="287"/>
      <c r="AB42" s="287"/>
      <c r="AC42" s="288"/>
      <c r="AD42" s="9"/>
      <c r="AE42" s="11"/>
      <c r="AF42" s="1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ht="11.25" customHeight="1"/>
    <row r="44" ht="11.25" customHeight="1" thickBot="1"/>
    <row r="45" spans="14:32" ht="11.25" customHeight="1" thickBot="1">
      <c r="N45" s="10"/>
      <c r="O45" s="21">
        <v>4</v>
      </c>
      <c r="Q45" s="252" t="str">
        <f>"Grupa "&amp;O45&amp;"."</f>
        <v>Grupa 4.</v>
      </c>
      <c r="R45" s="252"/>
      <c r="S45" s="278"/>
      <c r="T45" s="22" t="s">
        <v>1</v>
      </c>
      <c r="U45" s="254" t="s">
        <v>2</v>
      </c>
      <c r="V45" s="279"/>
      <c r="W45" s="22">
        <v>1</v>
      </c>
      <c r="X45" s="24">
        <v>2</v>
      </c>
      <c r="Y45" s="95">
        <v>3</v>
      </c>
      <c r="Z45" s="96" t="s">
        <v>3</v>
      </c>
      <c r="AA45" s="28" t="s">
        <v>4</v>
      </c>
      <c r="AB45" s="28" t="s">
        <v>5</v>
      </c>
      <c r="AC45" s="97" t="s">
        <v>6</v>
      </c>
      <c r="AD45" s="2"/>
      <c r="AE45" s="11"/>
      <c r="AF45" s="11"/>
    </row>
    <row r="46" spans="10:45" ht="11.25" customHeight="1">
      <c r="J46" s="36"/>
      <c r="K46" s="36"/>
      <c r="L46" s="36"/>
      <c r="N46" s="30" t="s">
        <v>0</v>
      </c>
      <c r="Q46" s="259" t="s">
        <v>9</v>
      </c>
      <c r="R46" s="259"/>
      <c r="S46" s="280" t="s">
        <v>10</v>
      </c>
      <c r="T46" s="281">
        <v>1</v>
      </c>
      <c r="U46" s="282">
        <f>IF(AND(N47&lt;&gt;"",N48&lt;&gt;""),CONCATENATE(VLOOKUP(N47,'[1]zawodnicy'!$A:$E,1,FALSE)," ",VLOOKUP(N47,'[1]zawodnicy'!$A:$E,2,FALSE)," ",VLOOKUP(N47,'[1]zawodnicy'!$A:$E,3,FALSE)," - ",VLOOKUP(N47,'[1]zawodnicy'!$A:$E,4,FALSE)),"")</f>
      </c>
      <c r="V46" s="283"/>
      <c r="W46" s="98"/>
      <c r="X46" s="99" t="str">
        <f>IF(SUM(AN51:AO51)=0,"",AN51&amp;":"&amp;AO51)</f>
        <v>14:21</v>
      </c>
      <c r="Y46" s="100" t="str">
        <f>IF(SUM(AN49:AO49)=0,"",AN49&amp;":"&amp;AO49)</f>
        <v>21:6</v>
      </c>
      <c r="Z46" s="281" t="str">
        <f>IF(SUM(AX49:BA49)=0,"",BD49&amp;":"&amp;BE49)</f>
        <v>68:58</v>
      </c>
      <c r="AA46" s="289" t="str">
        <f>IF(SUM(AX49:BA49)=0,"",BF49&amp;":"&amp;BG49)</f>
        <v>2:2</v>
      </c>
      <c r="AB46" s="289" t="str">
        <f>IF(SUM(AX49:BA49)=0,"",BH49&amp;":"&amp;BI49)</f>
        <v>1:1</v>
      </c>
      <c r="AC46" s="291">
        <f>IF(SUM(BH49:BH51)&gt;0,BJ49,"")</f>
        <v>2</v>
      </c>
      <c r="AD46" s="2"/>
      <c r="AE46" s="11"/>
      <c r="AF46" s="11"/>
      <c r="AG46" s="13"/>
      <c r="AH46" s="256" t="s">
        <v>7</v>
      </c>
      <c r="AI46" s="256"/>
      <c r="AJ46" s="256"/>
      <c r="AK46" s="256"/>
      <c r="AL46" s="256"/>
      <c r="AM46" s="256"/>
      <c r="AN46" s="256" t="s">
        <v>8</v>
      </c>
      <c r="AO46" s="256"/>
      <c r="AP46" s="256"/>
      <c r="AQ46" s="256"/>
      <c r="AR46" s="256"/>
      <c r="AS46" s="256"/>
    </row>
    <row r="47" spans="9:59" ht="11.25" customHeight="1" thickBot="1">
      <c r="I47" s="2" t="str">
        <f>"1"&amp;O45&amp;N46</f>
        <v>14Runners Up</v>
      </c>
      <c r="J47" s="9" t="str">
        <f>IF(AC46="","",IF(AC46=1,N47,IF(AC49=1,N50,IF(AC52=1,N53,""))))</f>
        <v>K0033</v>
      </c>
      <c r="K47" s="9">
        <f>IF(AC46="","",IF(AC46=1,N48,IF(AC49=1,N51,IF(AC52=1,N54,""))))</f>
        <v>0</v>
      </c>
      <c r="L47" s="9"/>
      <c r="N47" s="34" t="s">
        <v>30</v>
      </c>
      <c r="O47" s="35">
        <f>IF(O45&gt;0,(O45&amp;1)*1,"")</f>
        <v>41</v>
      </c>
      <c r="Q47" s="259"/>
      <c r="R47" s="259"/>
      <c r="S47" s="280"/>
      <c r="T47" s="261"/>
      <c r="U47" s="263" t="str">
        <f>IF(AND(N47&lt;&gt;"",N48=""),CONCATENATE(VLOOKUP(N47,'[1]zawodnicy'!$A:$E,1,FALSE)," ",VLOOKUP(N47,'[1]zawodnicy'!$A:$E,2,FALSE)," ",VLOOKUP(N47,'[1]zawodnicy'!$A:$E,3,FALSE)," - ",VLOOKUP(N47,'[1]zawodnicy'!$A:$E,4,FALSE)),"")</f>
        <v>R0008 Dawid RZESZUTEK - Mielec</v>
      </c>
      <c r="V47" s="284"/>
      <c r="W47" s="31"/>
      <c r="X47" s="32" t="str">
        <f>IF(SUM(AP51:AQ51)=0,"",AP51&amp;":"&amp;AQ51)</f>
        <v>12:21</v>
      </c>
      <c r="Y47" s="63" t="str">
        <f>IF(SUM(AP49:AQ49)=0,"",AP49&amp;":"&amp;AQ49)</f>
        <v>21:10</v>
      </c>
      <c r="Z47" s="261"/>
      <c r="AA47" s="265"/>
      <c r="AB47" s="265"/>
      <c r="AC47" s="266"/>
      <c r="AD47" s="2"/>
      <c r="AE47" s="11"/>
      <c r="AF47" s="11"/>
      <c r="AG47" s="13"/>
      <c r="BD47" s="17">
        <f>SUM(BD49:BD51)</f>
        <v>181</v>
      </c>
      <c r="BE47" s="17">
        <f>SUM(BE49:BE51)</f>
        <v>181</v>
      </c>
      <c r="BF47" s="17">
        <f>SUM(BF49:BF51)</f>
        <v>6</v>
      </c>
      <c r="BG47" s="17">
        <f>SUM(BG49:BG51)</f>
        <v>6</v>
      </c>
    </row>
    <row r="48" spans="10:63" ht="11.25" customHeight="1" thickBot="1">
      <c r="J48" s="9"/>
      <c r="K48" s="36"/>
      <c r="L48" s="36"/>
      <c r="N48" s="37"/>
      <c r="O48" s="36"/>
      <c r="P48" s="36"/>
      <c r="Q48" s="259"/>
      <c r="R48" s="259"/>
      <c r="S48" s="280"/>
      <c r="T48" s="262"/>
      <c r="U48" s="267">
        <f>IF(N48&lt;&gt;"",CONCATENATE(VLOOKUP(N48,'[1]zawodnicy'!$A:$E,1,FALSE)," ",VLOOKUP(N48,'[1]zawodnicy'!$A:$E,2,FALSE)," ",VLOOKUP(N48,'[1]zawodnicy'!$A:$E,3,FALSE)," - ",VLOOKUP(N48,'[1]zawodnicy'!$A:$E,4,FALSE)),"")</f>
      </c>
      <c r="V48" s="285"/>
      <c r="W48" s="31"/>
      <c r="X48" s="38">
        <f>IF(SUM(AR51:AS51)=0,"",AR51&amp;":"&amp;AS51)</f>
      </c>
      <c r="Y48" s="73">
        <f>IF(SUM(AR49:AS49)=0,"",AR49&amp;":"&amp;AS49)</f>
      </c>
      <c r="Z48" s="262"/>
      <c r="AA48" s="290"/>
      <c r="AB48" s="290"/>
      <c r="AC48" s="292"/>
      <c r="AD48" s="2"/>
      <c r="AE48" s="11"/>
      <c r="AF48" s="11"/>
      <c r="AG48" s="13"/>
      <c r="AH48" s="293" t="s">
        <v>12</v>
      </c>
      <c r="AI48" s="294"/>
      <c r="AJ48" s="274" t="s">
        <v>13</v>
      </c>
      <c r="AK48" s="294"/>
      <c r="AL48" s="274" t="s">
        <v>14</v>
      </c>
      <c r="AM48" s="295"/>
      <c r="AN48" s="293" t="s">
        <v>12</v>
      </c>
      <c r="AO48" s="294"/>
      <c r="AP48" s="274" t="s">
        <v>13</v>
      </c>
      <c r="AQ48" s="294"/>
      <c r="AR48" s="274" t="s">
        <v>14</v>
      </c>
      <c r="AS48" s="294"/>
      <c r="AT48" s="11"/>
      <c r="AU48" s="11"/>
      <c r="AV48" s="293">
        <v>1</v>
      </c>
      <c r="AW48" s="294"/>
      <c r="AX48" s="274">
        <v>2</v>
      </c>
      <c r="AY48" s="294"/>
      <c r="AZ48" s="274">
        <v>3</v>
      </c>
      <c r="BA48" s="295"/>
      <c r="BD48" s="293" t="s">
        <v>3</v>
      </c>
      <c r="BE48" s="295"/>
      <c r="BF48" s="293" t="s">
        <v>4</v>
      </c>
      <c r="BG48" s="295"/>
      <c r="BH48" s="293" t="s">
        <v>5</v>
      </c>
      <c r="BI48" s="295"/>
      <c r="BJ48" s="40" t="s">
        <v>6</v>
      </c>
      <c r="BK48" s="18">
        <f>SUM(BK49:BK51)</f>
        <v>0</v>
      </c>
    </row>
    <row r="49" spans="1:63" ht="11.25" customHeight="1">
      <c r="A49" s="17">
        <f>S49</f>
        <v>5</v>
      </c>
      <c r="B49" s="2" t="str">
        <f>IF(N47="","",N47)</f>
        <v>R0008</v>
      </c>
      <c r="C49" s="2">
        <f>IF(N48="","",N48)</f>
      </c>
      <c r="D49" s="2" t="str">
        <f>IF(N53="","",N53)</f>
        <v>G0011</v>
      </c>
      <c r="E49" s="2">
        <f>IF(N54="","",N54)</f>
      </c>
      <c r="I49" s="2" t="str">
        <f>"2"&amp;O45&amp;N46</f>
        <v>24Runners Up</v>
      </c>
      <c r="J49" s="9" t="str">
        <f>IF(AC49="","",IF(AC46=2,N47,IF(AC49=2,N50,IF(AC52=2,N53,""))))</f>
        <v>R0008</v>
      </c>
      <c r="K49" s="9">
        <f>IF(AC49="","",IF(AC46=2,N48,IF(AC49=2,N51,IF(AC52=2,N54,""))))</f>
        <v>0</v>
      </c>
      <c r="M49" s="41" t="str">
        <f>N46</f>
        <v>Runners Up</v>
      </c>
      <c r="O49" s="36"/>
      <c r="P49" s="36"/>
      <c r="Q49" s="42">
        <f>IF(AT49&gt;0,"",IF(A49=0,"",IF(VLOOKUP(A49,'[1]plan gier'!A:S,19,FALSE)="","",VLOOKUP(A49,'[1]plan gier'!A:S,19,FALSE))))</f>
      </c>
      <c r="R49" s="43" t="s">
        <v>15</v>
      </c>
      <c r="S49" s="90">
        <v>5</v>
      </c>
      <c r="T49" s="269">
        <v>2</v>
      </c>
      <c r="U49" s="270">
        <f>IF(AND(N50&lt;&gt;"",N51&lt;&gt;""),CONCATENATE(VLOOKUP(N50,'[1]zawodnicy'!$A:$E,1,FALSE)," ",VLOOKUP(N50,'[1]zawodnicy'!$A:$E,2,FALSE)," ",VLOOKUP(N50,'[1]zawodnicy'!$A:$E,3,FALSE)," - ",VLOOKUP(N50,'[1]zawodnicy'!$A:$E,4,FALSE)),"")</f>
      </c>
      <c r="V49" s="299"/>
      <c r="W49" s="45" t="str">
        <f>IF(SUM(AN51:AO51)=0,"",AO51&amp;":"&amp;AN51)</f>
        <v>21:14</v>
      </c>
      <c r="X49" s="77"/>
      <c r="Y49" s="48" t="str">
        <f>IF(SUM(AN50:AO50)=0,"",AN50&amp;":"&amp;AO50)</f>
        <v>21:7</v>
      </c>
      <c r="Z49" s="269" t="str">
        <f>IF(SUM(AV50:AW50,AZ50:BA50)=0,"",BD50&amp;":"&amp;BE50)</f>
        <v>84:39</v>
      </c>
      <c r="AA49" s="272" t="str">
        <f>IF(SUM(AV50:AW50,AZ50:BA50)=0,"",BF50&amp;":"&amp;BG50)</f>
        <v>4:0</v>
      </c>
      <c r="AB49" s="272" t="str">
        <f>IF(SUM(AV50:AW50,AZ50:BA50)=0,"",BH50&amp;":"&amp;BI50)</f>
        <v>2:0</v>
      </c>
      <c r="AC49" s="275">
        <f>IF(SUM(BH49:BH51)&gt;0,BJ50,"")</f>
        <v>1</v>
      </c>
      <c r="AD49" s="2"/>
      <c r="AE49" s="11"/>
      <c r="AF49" s="11"/>
      <c r="AG49" s="43" t="s">
        <v>15</v>
      </c>
      <c r="AH49" s="51">
        <f>IF(ISBLANK(S49),"",VLOOKUP(S49,'[1]plan gier'!$X:$AN,12,FALSE))</f>
        <v>21</v>
      </c>
      <c r="AI49" s="52">
        <f>IF(ISBLANK(S49),"",VLOOKUP(S49,'[1]plan gier'!$X:$AN,13,FALSE))</f>
        <v>6</v>
      </c>
      <c r="AJ49" s="52">
        <f>IF(ISBLANK(S49),"",VLOOKUP(S49,'[1]plan gier'!$X:$AN,14,FALSE))</f>
        <v>21</v>
      </c>
      <c r="AK49" s="52">
        <f>IF(ISBLANK(S49),"",VLOOKUP(S49,'[1]plan gier'!$X:$AN,15,FALSE))</f>
        <v>10</v>
      </c>
      <c r="AL49" s="52">
        <f>IF(ISBLANK(S49),"",VLOOKUP(S49,'[1]plan gier'!$X:$AN,16,FALSE))</f>
        <v>0</v>
      </c>
      <c r="AM49" s="52">
        <f>IF(ISBLANK(S49),"",VLOOKUP(S49,'[1]plan gier'!$X:$AN,17,FALSE))</f>
        <v>0</v>
      </c>
      <c r="AN49" s="101">
        <f aca="true" t="shared" si="6" ref="AN49:AS51">IF(AH49="",0,AH49)</f>
        <v>21</v>
      </c>
      <c r="AO49" s="50">
        <f t="shared" si="6"/>
        <v>6</v>
      </c>
      <c r="AP49" s="102">
        <f t="shared" si="6"/>
        <v>21</v>
      </c>
      <c r="AQ49" s="50">
        <f t="shared" si="6"/>
        <v>10</v>
      </c>
      <c r="AR49" s="102">
        <f t="shared" si="6"/>
        <v>0</v>
      </c>
      <c r="AS49" s="50">
        <f t="shared" si="6"/>
        <v>0</v>
      </c>
      <c r="AT49" s="103">
        <f>SUM(AN49:AS49)</f>
        <v>58</v>
      </c>
      <c r="AU49" s="12">
        <v>1</v>
      </c>
      <c r="AV49" s="104"/>
      <c r="AW49" s="105"/>
      <c r="AX49" s="52">
        <f>IF(AH51&gt;AI51,1,0)+IF(AJ51&gt;AK51,1,0)+IF(AL51&gt;AM51,1,0)</f>
        <v>0</v>
      </c>
      <c r="AY49" s="52">
        <f>AV50</f>
        <v>2</v>
      </c>
      <c r="AZ49" s="52">
        <f>IF(AH49&gt;AI49,1,0)+IF(AJ49&gt;AK49,1,0)+IF(AL49&gt;AM49,1,0)</f>
        <v>2</v>
      </c>
      <c r="BA49" s="53">
        <f>AV51</f>
        <v>0</v>
      </c>
      <c r="BD49" s="51">
        <f>AN49+AP49+AR49+AN51+AP51+AR51</f>
        <v>68</v>
      </c>
      <c r="BE49" s="53">
        <f>AO49+AQ49+AS49+AO51+AQ51+AS51</f>
        <v>58</v>
      </c>
      <c r="BF49" s="51">
        <f>AX49+AZ49</f>
        <v>2</v>
      </c>
      <c r="BG49" s="53">
        <f>AY49+BA49</f>
        <v>2</v>
      </c>
      <c r="BH49" s="51">
        <f>IF(AX49&gt;AY49,1,0)+IF(AZ49&gt;BA49,1,0)</f>
        <v>1</v>
      </c>
      <c r="BI49" s="56">
        <f>IF(AY49&gt;AX49,1,0)+IF(BA49&gt;AZ49,1,0)</f>
        <v>1</v>
      </c>
      <c r="BJ49" s="106">
        <f>IF(BH49+BI49=0,"",IF(BK49=MAX(BK49:BK51),1,IF(BK49=MIN(BK49:BK51),3,2)))</f>
        <v>2</v>
      </c>
      <c r="BK49" s="18">
        <f>IF(BH49+BI49&lt;&gt;0,BH49-BI49+(BF49-BG49)/100+(BD49-BE49)/10000,-2)</f>
        <v>0.001</v>
      </c>
    </row>
    <row r="50" spans="1:63" ht="11.25" customHeight="1">
      <c r="A50" s="17">
        <f>S50</f>
        <v>13</v>
      </c>
      <c r="B50" s="2" t="str">
        <f>IF(N50="","",N50)</f>
        <v>K0033</v>
      </c>
      <c r="C50" s="2">
        <f>IF(N51="","",N51)</f>
      </c>
      <c r="D50" s="2" t="str">
        <f>IF(N53="","",N53)</f>
        <v>G0011</v>
      </c>
      <c r="E50" s="2">
        <f>IF(N54="","",N54)</f>
      </c>
      <c r="J50" s="9"/>
      <c r="K50" s="17"/>
      <c r="M50" s="41" t="str">
        <f>N46</f>
        <v>Runners Up</v>
      </c>
      <c r="N50" s="34" t="s">
        <v>31</v>
      </c>
      <c r="O50" s="35">
        <f>IF(O45&gt;0,(O45&amp;2)*1,"")</f>
        <v>42</v>
      </c>
      <c r="Q50" s="42">
        <f>IF(AT50&gt;0,"",IF(A50=0,"",IF(VLOOKUP(A50,'[1]plan gier'!A:S,19,FALSE)="","",VLOOKUP(A50,'[1]plan gier'!A:S,19,FALSE))))</f>
      </c>
      <c r="R50" s="43" t="s">
        <v>19</v>
      </c>
      <c r="S50" s="90">
        <v>13</v>
      </c>
      <c r="T50" s="261"/>
      <c r="U50" s="263" t="str">
        <f>IF(AND(N50&lt;&gt;"",N51=""),CONCATENATE(VLOOKUP(N50,'[1]zawodnicy'!$A:$E,1,FALSE)," ",VLOOKUP(N50,'[1]zawodnicy'!$A:$E,2,FALSE)," ",VLOOKUP(N50,'[1]zawodnicy'!$A:$E,3,FALSE)," - ",VLOOKUP(N50,'[1]zawodnicy'!$A:$E,4,FALSE)),"")</f>
        <v>K0033 Marek KAMIŃSKI - Nowa Dęba</v>
      </c>
      <c r="V50" s="284"/>
      <c r="W50" s="61" t="str">
        <f>IF(SUM(AP51:AQ51)=0,"",AQ51&amp;":"&amp;AP51)</f>
        <v>21:12</v>
      </c>
      <c r="X50" s="87"/>
      <c r="Y50" s="63" t="str">
        <f>IF(SUM(AP50:AQ50)=0,"",AP50&amp;":"&amp;AQ50)</f>
        <v>21:6</v>
      </c>
      <c r="Z50" s="261"/>
      <c r="AA50" s="265"/>
      <c r="AB50" s="265"/>
      <c r="AC50" s="266"/>
      <c r="AD50" s="2"/>
      <c r="AE50" s="11"/>
      <c r="AF50" s="11"/>
      <c r="AG50" s="43" t="s">
        <v>19</v>
      </c>
      <c r="AH50" s="64">
        <f>IF(ISBLANK(S50),"",VLOOKUP(S50,'[1]plan gier'!$X:$AN,12,FALSE))</f>
        <v>21</v>
      </c>
      <c r="AI50" s="65">
        <f>IF(ISBLANK(S50),"",VLOOKUP(S50,'[1]plan gier'!$X:$AN,13,FALSE))</f>
        <v>7</v>
      </c>
      <c r="AJ50" s="65">
        <f>IF(ISBLANK(S50),"",VLOOKUP(S50,'[1]plan gier'!$X:$AN,14,FALSE))</f>
        <v>21</v>
      </c>
      <c r="AK50" s="65">
        <f>IF(ISBLANK(S50),"",VLOOKUP(S50,'[1]plan gier'!$X:$AN,15,FALSE))</f>
        <v>6</v>
      </c>
      <c r="AL50" s="65">
        <f>IF(ISBLANK(S50),"",VLOOKUP(S50,'[1]plan gier'!$X:$AN,16,FALSE))</f>
        <v>0</v>
      </c>
      <c r="AM50" s="65">
        <f>IF(ISBLANK(S50),"",VLOOKUP(S50,'[1]plan gier'!$X:$AN,17,FALSE))</f>
        <v>0</v>
      </c>
      <c r="AN50" s="107">
        <f t="shared" si="6"/>
        <v>21</v>
      </c>
      <c r="AO50" s="65">
        <f t="shared" si="6"/>
        <v>7</v>
      </c>
      <c r="AP50" s="108">
        <f t="shared" si="6"/>
        <v>21</v>
      </c>
      <c r="AQ50" s="65">
        <f t="shared" si="6"/>
        <v>6</v>
      </c>
      <c r="AR50" s="108">
        <f t="shared" si="6"/>
        <v>0</v>
      </c>
      <c r="AS50" s="65">
        <f t="shared" si="6"/>
        <v>0</v>
      </c>
      <c r="AT50" s="103">
        <f>SUM(AN50:AS50)</f>
        <v>55</v>
      </c>
      <c r="AU50" s="12">
        <v>2</v>
      </c>
      <c r="AV50" s="64">
        <f>IF(AH51&lt;AI51,1,0)+IF(AJ51&lt;AK51,1,0)+IF(AL51&lt;AM51,1,0)</f>
        <v>2</v>
      </c>
      <c r="AW50" s="65">
        <f>AX49</f>
        <v>0</v>
      </c>
      <c r="AX50" s="109"/>
      <c r="AY50" s="110"/>
      <c r="AZ50" s="65">
        <f>IF(AH50&gt;AI50,1,0)+IF(AJ50&gt;AK50,1,0)+IF(AL50&gt;AM50,1,0)</f>
        <v>2</v>
      </c>
      <c r="BA50" s="66">
        <f>AX51</f>
        <v>0</v>
      </c>
      <c r="BD50" s="64">
        <f>AN50+AP50+AR50+AO51+AQ51+AS51</f>
        <v>84</v>
      </c>
      <c r="BE50" s="66">
        <f>AO50+AQ50+AS50+AN51+AP51+AR51</f>
        <v>39</v>
      </c>
      <c r="BF50" s="64">
        <f>AV50+AZ50</f>
        <v>4</v>
      </c>
      <c r="BG50" s="66">
        <f>AW50+BA50</f>
        <v>0</v>
      </c>
      <c r="BH50" s="64">
        <f>IF(AV50&gt;AW50,1,0)+IF(AZ50&gt;BA50,1,0)</f>
        <v>2</v>
      </c>
      <c r="BI50" s="70">
        <f>IF(AW50&gt;AV50,1,0)+IF(BA50&gt;AZ50,1,0)</f>
        <v>0</v>
      </c>
      <c r="BJ50" s="71">
        <f>IF(BH50+BI50=0,"",IF(BK50=MAX(BK49:BK51),1,IF(BK50=MIN(BK49:BK51),3,2)))</f>
        <v>1</v>
      </c>
      <c r="BK50" s="18">
        <f>IF(BH50+BI50&lt;&gt;0,BH50-BI50+(BF50-BG50)/100+(BD50-BE50)/10000,-2)</f>
        <v>2.0445</v>
      </c>
    </row>
    <row r="51" spans="1:63" ht="11.25" customHeight="1" thickBot="1">
      <c r="A51" s="17">
        <f>S51</f>
        <v>21</v>
      </c>
      <c r="B51" s="2" t="str">
        <f>IF(N47="","",N47)</f>
        <v>R0008</v>
      </c>
      <c r="C51" s="2">
        <f>IF(N48="","",N48)</f>
      </c>
      <c r="D51" s="2" t="str">
        <f>IF(N50="","",N50)</f>
        <v>K0033</v>
      </c>
      <c r="E51" s="2">
        <f>IF(N51="","",N51)</f>
      </c>
      <c r="I51" s="2" t="str">
        <f>"3"&amp;O45&amp;N46</f>
        <v>34Runners Up</v>
      </c>
      <c r="J51" s="9" t="str">
        <f>IF(AC52="","",IF(AC46=3,N47,IF(AC49=3,N50,IF(AC52=3,N53,""))))</f>
        <v>G0011</v>
      </c>
      <c r="K51" s="9">
        <f>IF(AC52="","",IF(AC46=3,N48,IF(AC49=3,N51,IF(AC52=3,N54,""))))</f>
        <v>0</v>
      </c>
      <c r="M51" s="41" t="str">
        <f>N46</f>
        <v>Runners Up</v>
      </c>
      <c r="N51" s="37"/>
      <c r="O51" s="36"/>
      <c r="P51" s="36"/>
      <c r="Q51" s="42">
        <f>IF(AT51&gt;0,"",IF(A51=0,"",IF(VLOOKUP(A51,'[1]plan gier'!A:S,19,FALSE)="","",VLOOKUP(A51,'[1]plan gier'!A:S,19,FALSE))))</f>
      </c>
      <c r="R51" s="111" t="s">
        <v>22</v>
      </c>
      <c r="S51" s="90">
        <v>21</v>
      </c>
      <c r="T51" s="262"/>
      <c r="U51" s="267">
        <f>IF(N51&lt;&gt;"",CONCATENATE(VLOOKUP(N51,'[1]zawodnicy'!$A:$E,1,FALSE)," ",VLOOKUP(N51,'[1]zawodnicy'!$A:$E,2,FALSE)," ",VLOOKUP(N51,'[1]zawodnicy'!$A:$E,3,FALSE)," - ",VLOOKUP(N51,'[1]zawodnicy'!$A:$E,4,FALSE)),"")</f>
      </c>
      <c r="V51" s="285"/>
      <c r="W51" s="72">
        <f>IF(SUM(AR51:AS51)=0,"",AS51&amp;":"&amp;AR51)</f>
      </c>
      <c r="X51" s="87"/>
      <c r="Y51" s="73">
        <f>IF(SUM(AR50:AS50)=0,"",AR50&amp;":"&amp;AS50)</f>
      </c>
      <c r="Z51" s="262"/>
      <c r="AA51" s="290"/>
      <c r="AB51" s="290"/>
      <c r="AC51" s="292"/>
      <c r="AD51" s="2"/>
      <c r="AE51" s="11"/>
      <c r="AF51" s="11"/>
      <c r="AG51" s="111" t="s">
        <v>22</v>
      </c>
      <c r="AH51" s="83">
        <f>IF(ISBLANK(S51),"",VLOOKUP(S51,'[1]plan gier'!$X:$AN,12,FALSE))</f>
        <v>14</v>
      </c>
      <c r="AI51" s="80">
        <f>IF(ISBLANK(S51),"",VLOOKUP(S51,'[1]plan gier'!$X:$AN,13,FALSE))</f>
        <v>21</v>
      </c>
      <c r="AJ51" s="80">
        <f>IF(ISBLANK(S51),"",VLOOKUP(S51,'[1]plan gier'!$X:$AN,14,FALSE))</f>
        <v>12</v>
      </c>
      <c r="AK51" s="80">
        <f>IF(ISBLANK(S51),"",VLOOKUP(S51,'[1]plan gier'!$X:$AN,15,FALSE))</f>
        <v>21</v>
      </c>
      <c r="AL51" s="80">
        <f>IF(ISBLANK(S51),"",VLOOKUP(S51,'[1]plan gier'!$X:$AN,16,FALSE))</f>
        <v>0</v>
      </c>
      <c r="AM51" s="80">
        <f>IF(ISBLANK(S51),"",VLOOKUP(S51,'[1]plan gier'!$X:$AN,17,FALSE))</f>
        <v>0</v>
      </c>
      <c r="AN51" s="112">
        <f t="shared" si="6"/>
        <v>14</v>
      </c>
      <c r="AO51" s="80">
        <f t="shared" si="6"/>
        <v>21</v>
      </c>
      <c r="AP51" s="113">
        <f t="shared" si="6"/>
        <v>12</v>
      </c>
      <c r="AQ51" s="80">
        <f t="shared" si="6"/>
        <v>21</v>
      </c>
      <c r="AR51" s="113">
        <f t="shared" si="6"/>
        <v>0</v>
      </c>
      <c r="AS51" s="80">
        <f t="shared" si="6"/>
        <v>0</v>
      </c>
      <c r="AT51" s="103">
        <f>SUM(AN51:AS51)</f>
        <v>68</v>
      </c>
      <c r="AU51" s="12">
        <v>3</v>
      </c>
      <c r="AV51" s="83">
        <f>IF(AH49&lt;AI49,1,0)+IF(AJ49&lt;AK49,1,0)+IF(AL49&lt;AM49,1,0)</f>
        <v>0</v>
      </c>
      <c r="AW51" s="80">
        <f>AZ49</f>
        <v>2</v>
      </c>
      <c r="AX51" s="80">
        <f>IF(AH50&lt;AI50,1,0)+IF(AJ50&lt;AK50,1,0)+IF(AL50&lt;AM50,1,0)</f>
        <v>0</v>
      </c>
      <c r="AY51" s="80">
        <f>AZ50</f>
        <v>2</v>
      </c>
      <c r="AZ51" s="114"/>
      <c r="BA51" s="115"/>
      <c r="BD51" s="83">
        <f>AO49+AQ49+AS49+AO50+AQ50+AS50</f>
        <v>29</v>
      </c>
      <c r="BE51" s="85">
        <f>AN49+AP49+AR49+AN50+AP50+AR50</f>
        <v>84</v>
      </c>
      <c r="BF51" s="83">
        <f>AV51+AX51</f>
        <v>0</v>
      </c>
      <c r="BG51" s="85">
        <f>AW51+AY51</f>
        <v>4</v>
      </c>
      <c r="BH51" s="83">
        <f>IF(AV51&gt;AW51,1,0)+IF(AX51&gt;AY51,1,0)</f>
        <v>0</v>
      </c>
      <c r="BI51" s="84">
        <f>IF(AW51&gt;AV51,1,0)+IF(AY51&gt;AX51,1,0)</f>
        <v>2</v>
      </c>
      <c r="BJ51" s="86">
        <f>IF(BH51+BI51=0,"",IF(BK51=MAX(BK49:BK51),1,IF(BK51=MIN(BK49:BK51),3,2)))</f>
        <v>3</v>
      </c>
      <c r="BK51" s="18">
        <f>IF(BH51+BI51&lt;&gt;0,BH51-BI51+(BF51-BG51)/100+(BD51-BE51)/10000,-2)</f>
        <v>-2.0455</v>
      </c>
    </row>
    <row r="52" spans="1:59" ht="11.25" customHeight="1">
      <c r="A52" s="2"/>
      <c r="J52" s="36"/>
      <c r="K52" s="36"/>
      <c r="L52" s="36"/>
      <c r="O52" s="36"/>
      <c r="P52" s="36"/>
      <c r="Q52" s="2"/>
      <c r="R52" s="2"/>
      <c r="S52" s="2"/>
      <c r="T52" s="269">
        <v>3</v>
      </c>
      <c r="U52" s="270">
        <f>IF(AND(N53&lt;&gt;"",N54&lt;&gt;""),CONCATENATE(VLOOKUP(N53,'[1]zawodnicy'!$A:$E,1,FALSE)," ",VLOOKUP(N53,'[1]zawodnicy'!$A:$E,2,FALSE)," ",VLOOKUP(N53,'[1]zawodnicy'!$A:$E,3,FALSE)," - ",VLOOKUP(N53,'[1]zawodnicy'!$A:$E,4,FALSE)),"")</f>
      </c>
      <c r="V52" s="299"/>
      <c r="W52" s="45" t="str">
        <f>IF(SUM(AN49:AO49)=0,"",AO49&amp;":"&amp;AN49)</f>
        <v>6:21</v>
      </c>
      <c r="X52" s="47" t="str">
        <f>IF(SUM(AN50:AO50)=0,"",AO50&amp;":"&amp;AN50)</f>
        <v>7:21</v>
      </c>
      <c r="Y52" s="116"/>
      <c r="Z52" s="269" t="str">
        <f>IF(SUM(AV51:AY51)=0,"",BD51&amp;":"&amp;BE51)</f>
        <v>29:84</v>
      </c>
      <c r="AA52" s="272" t="str">
        <f>IF(SUM(AV51:AY51)=0,"",BF51&amp;":"&amp;BG51)</f>
        <v>0:4</v>
      </c>
      <c r="AB52" s="272" t="str">
        <f>IF(SUM(AV51:AY51)=0,"",BH51&amp;":"&amp;BI51)</f>
        <v>0:2</v>
      </c>
      <c r="AC52" s="275">
        <f>IF(SUM(BH49:BH51)&gt;0,BJ51,"")</f>
        <v>3</v>
      </c>
      <c r="AD52" s="2"/>
      <c r="AE52" s="11"/>
      <c r="AF52" s="11"/>
      <c r="BD52" s="17">
        <f>SUM(BD49:BD51)</f>
        <v>181</v>
      </c>
      <c r="BE52" s="17">
        <f>SUM(BE49:BE51)</f>
        <v>181</v>
      </c>
      <c r="BF52" s="17">
        <f>SUM(BF49:BF51)</f>
        <v>6</v>
      </c>
      <c r="BG52" s="17">
        <f>SUM(BG49:BG51)</f>
        <v>6</v>
      </c>
    </row>
    <row r="53" spans="1:63" ht="11.25" customHeight="1">
      <c r="A53" s="17"/>
      <c r="J53" s="17"/>
      <c r="K53" s="17"/>
      <c r="L53" s="17"/>
      <c r="N53" s="34" t="s">
        <v>32</v>
      </c>
      <c r="O53" s="35">
        <f>IF(O45&gt;0,(O45&amp;3)*1,"")</f>
        <v>43</v>
      </c>
      <c r="Q53" s="89"/>
      <c r="R53" s="89"/>
      <c r="S53" s="90"/>
      <c r="T53" s="261"/>
      <c r="U53" s="263" t="str">
        <f>IF(AND(N53&lt;&gt;"",N54=""),CONCATENATE(VLOOKUP(N53,'[1]zawodnicy'!$A:$E,1,FALSE)," ",VLOOKUP(N53,'[1]zawodnicy'!$A:$E,2,FALSE)," ",VLOOKUP(N53,'[1]zawodnicy'!$A:$E,3,FALSE)," - ",VLOOKUP(N53,'[1]zawodnicy'!$A:$E,4,FALSE)),"")</f>
        <v>G0011 Jakub GERCZAK - Rzeszów</v>
      </c>
      <c r="V53" s="284"/>
      <c r="W53" s="61" t="str">
        <f>IF(SUM(AP49:AQ49)=0,"",AQ49&amp;":"&amp;AP49)</f>
        <v>10:21</v>
      </c>
      <c r="X53" s="32" t="str">
        <f>IF(SUM(AP50:AQ50)=0,"",AQ50&amp;":"&amp;AP50)</f>
        <v>6:21</v>
      </c>
      <c r="Y53" s="117"/>
      <c r="Z53" s="261"/>
      <c r="AA53" s="265"/>
      <c r="AB53" s="265"/>
      <c r="AC53" s="266"/>
      <c r="AD53" s="2"/>
      <c r="AE53" s="11"/>
      <c r="AF53" s="11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1:63" ht="11.25" customHeight="1" thickBot="1">
      <c r="A54" s="2"/>
      <c r="J54" s="36"/>
      <c r="K54" s="36"/>
      <c r="L54" s="36"/>
      <c r="N54" s="37"/>
      <c r="O54" s="36"/>
      <c r="P54" s="36"/>
      <c r="Q54" s="2"/>
      <c r="R54" s="2"/>
      <c r="S54" s="2"/>
      <c r="T54" s="286"/>
      <c r="U54" s="296">
        <f>IF(N54&lt;&gt;"",CONCATENATE(VLOOKUP(N54,'[1]zawodnicy'!$A:$E,1,FALSE)," ",VLOOKUP(N54,'[1]zawodnicy'!$A:$E,2,FALSE)," ",VLOOKUP(N54,'[1]zawodnicy'!$A:$E,3,FALSE)," - ",VLOOKUP(N54,'[1]zawodnicy'!$A:$E,4,FALSE)),"")</f>
      </c>
      <c r="V54" s="298"/>
      <c r="W54" s="92">
        <f>IF(SUM(AR49:AS49)=0,"",AS49&amp;":"&amp;AR49)</f>
      </c>
      <c r="X54" s="93">
        <f>IF(SUM(AR50:AS50)=0,"",AS50&amp;":"&amp;AR50)</f>
      </c>
      <c r="Y54" s="94"/>
      <c r="Z54" s="286"/>
      <c r="AA54" s="287"/>
      <c r="AB54" s="287"/>
      <c r="AC54" s="288"/>
      <c r="AD54" s="9"/>
      <c r="AE54" s="11"/>
      <c r="AF54" s="11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ht="11.25" customHeight="1" thickBot="1"/>
    <row r="56" spans="14:32" ht="11.25" customHeight="1" thickBot="1">
      <c r="N56" s="10"/>
      <c r="O56" s="21">
        <v>5</v>
      </c>
      <c r="Q56" s="252" t="str">
        <f>"Grupa "&amp;O56&amp;"."</f>
        <v>Grupa 5.</v>
      </c>
      <c r="R56" s="252"/>
      <c r="S56" s="278"/>
      <c r="T56" s="22" t="s">
        <v>1</v>
      </c>
      <c r="U56" s="254" t="s">
        <v>2</v>
      </c>
      <c r="V56" s="279"/>
      <c r="W56" s="22">
        <v>1</v>
      </c>
      <c r="X56" s="24">
        <v>2</v>
      </c>
      <c r="Y56" s="95">
        <v>3</v>
      </c>
      <c r="Z56" s="96" t="s">
        <v>3</v>
      </c>
      <c r="AA56" s="28" t="s">
        <v>4</v>
      </c>
      <c r="AB56" s="28" t="s">
        <v>5</v>
      </c>
      <c r="AC56" s="97" t="s">
        <v>6</v>
      </c>
      <c r="AD56" s="2"/>
      <c r="AE56" s="11"/>
      <c r="AF56" s="11"/>
    </row>
    <row r="57" spans="10:45" ht="11.25" customHeight="1">
      <c r="J57" s="36"/>
      <c r="K57" s="36"/>
      <c r="L57" s="36"/>
      <c r="N57" s="30" t="s">
        <v>0</v>
      </c>
      <c r="Q57" s="259" t="s">
        <v>9</v>
      </c>
      <c r="R57" s="259"/>
      <c r="S57" s="280" t="s">
        <v>10</v>
      </c>
      <c r="T57" s="281">
        <v>1</v>
      </c>
      <c r="U57" s="282">
        <f>IF(AND(N58&lt;&gt;"",N59&lt;&gt;""),CONCATENATE(VLOOKUP(N58,'[1]zawodnicy'!$A:$E,1,FALSE)," ",VLOOKUP(N58,'[1]zawodnicy'!$A:$E,2,FALSE)," ",VLOOKUP(N58,'[1]zawodnicy'!$A:$E,3,FALSE)," - ",VLOOKUP(N58,'[1]zawodnicy'!$A:$E,4,FALSE)),"")</f>
      </c>
      <c r="V57" s="283"/>
      <c r="W57" s="98"/>
      <c r="X57" s="99" t="str">
        <f>IF(SUM(AN62:AO62)=0,"",AN62&amp;":"&amp;AO62)</f>
        <v>0:21</v>
      </c>
      <c r="Y57" s="100" t="str">
        <f>IF(SUM(AN60:AO60)=0,"",AN60&amp;":"&amp;AO60)</f>
        <v>0:21</v>
      </c>
      <c r="Z57" s="281" t="str">
        <f>IF(SUM(AX60:BA60)=0,"",BD60&amp;":"&amp;BE60)</f>
        <v>0:84</v>
      </c>
      <c r="AA57" s="289" t="str">
        <f>IF(SUM(AX60:BA60)=0,"",BF60&amp;":"&amp;BG60)</f>
        <v>0:4</v>
      </c>
      <c r="AB57" s="289" t="str">
        <f>IF(SUM(AX60:BA60)=0,"",BH60&amp;":"&amp;BI60)</f>
        <v>0:2</v>
      </c>
      <c r="AC57" s="291">
        <f>IF(SUM(BH60:BH62)&gt;0,BJ60,"")</f>
        <v>3</v>
      </c>
      <c r="AD57" s="2"/>
      <c r="AE57" s="11"/>
      <c r="AF57" s="11"/>
      <c r="AG57" s="13"/>
      <c r="AH57" s="256" t="s">
        <v>7</v>
      </c>
      <c r="AI57" s="256"/>
      <c r="AJ57" s="256"/>
      <c r="AK57" s="256"/>
      <c r="AL57" s="256"/>
      <c r="AM57" s="256"/>
      <c r="AN57" s="256" t="s">
        <v>8</v>
      </c>
      <c r="AO57" s="256"/>
      <c r="AP57" s="256"/>
      <c r="AQ57" s="256"/>
      <c r="AR57" s="256"/>
      <c r="AS57" s="256"/>
    </row>
    <row r="58" spans="9:59" ht="11.25" customHeight="1" thickBot="1">
      <c r="I58" s="2" t="str">
        <f>"1"&amp;O56&amp;N57</f>
        <v>15Runners Up</v>
      </c>
      <c r="J58" s="9" t="str">
        <f>IF(AC57="","",IF(AC57=1,N58,IF(AC60=1,N61,IF(AC63=1,N64,""))))</f>
        <v>W0010</v>
      </c>
      <c r="K58" s="9">
        <f>IF(AC57="","",IF(AC57=1,N59,IF(AC60=1,N62,IF(AC63=1,N65,""))))</f>
        <v>0</v>
      </c>
      <c r="L58" s="9"/>
      <c r="N58" s="34" t="s">
        <v>33</v>
      </c>
      <c r="O58" s="35">
        <f>IF(O56&gt;0,(O56&amp;1)*1,"")</f>
        <v>51</v>
      </c>
      <c r="Q58" s="259"/>
      <c r="R58" s="259"/>
      <c r="S58" s="280"/>
      <c r="T58" s="261"/>
      <c r="U58" s="263" t="str">
        <f>IF(AND(N58&lt;&gt;"",N59=""),CONCATENATE(VLOOKUP(N58,'[1]zawodnicy'!$A:$E,1,FALSE)," ",VLOOKUP(N58,'[1]zawodnicy'!$A:$E,2,FALSE)," ",VLOOKUP(N58,'[1]zawodnicy'!$A:$E,3,FALSE)," - ",VLOOKUP(N58,'[1]zawodnicy'!$A:$E,4,FALSE)),"")</f>
        <v>D0003 Łukasz DYCHA - Nowa Dęba</v>
      </c>
      <c r="V58" s="284"/>
      <c r="W58" s="31"/>
      <c r="X58" s="32" t="str">
        <f>IF(SUM(AP62:AQ62)=0,"",AP62&amp;":"&amp;AQ62)</f>
        <v>0:21</v>
      </c>
      <c r="Y58" s="63" t="str">
        <f>IF(SUM(AP60:AQ60)=0,"",AP60&amp;":"&amp;AQ60)</f>
        <v>0:21</v>
      </c>
      <c r="Z58" s="261"/>
      <c r="AA58" s="265"/>
      <c r="AB58" s="265"/>
      <c r="AC58" s="266"/>
      <c r="AD58" s="2"/>
      <c r="AE58" s="11"/>
      <c r="AF58" s="11"/>
      <c r="AG58" s="13"/>
      <c r="BD58" s="17">
        <f>SUM(BD60:BD62)</f>
        <v>187</v>
      </c>
      <c r="BE58" s="17">
        <f>SUM(BE60:BE62)</f>
        <v>187</v>
      </c>
      <c r="BF58" s="17">
        <f>SUM(BF60:BF62)</f>
        <v>7</v>
      </c>
      <c r="BG58" s="17">
        <f>SUM(BG60:BG62)</f>
        <v>7</v>
      </c>
    </row>
    <row r="59" spans="10:63" ht="11.25" customHeight="1" thickBot="1">
      <c r="J59" s="9"/>
      <c r="K59" s="36"/>
      <c r="L59" s="36"/>
      <c r="N59" s="37"/>
      <c r="O59" s="36"/>
      <c r="P59" s="36"/>
      <c r="Q59" s="259"/>
      <c r="R59" s="259"/>
      <c r="S59" s="280"/>
      <c r="T59" s="262"/>
      <c r="U59" s="267">
        <f>IF(N59&lt;&gt;"",CONCATENATE(VLOOKUP(N59,'[1]zawodnicy'!$A:$E,1,FALSE)," ",VLOOKUP(N59,'[1]zawodnicy'!$A:$E,2,FALSE)," ",VLOOKUP(N59,'[1]zawodnicy'!$A:$E,3,FALSE)," - ",VLOOKUP(N59,'[1]zawodnicy'!$A:$E,4,FALSE)),"")</f>
      </c>
      <c r="V59" s="285"/>
      <c r="W59" s="31"/>
      <c r="X59" s="38">
        <f>IF(SUM(AR62:AS62)=0,"",AR62&amp;":"&amp;AS62)</f>
      </c>
      <c r="Y59" s="73">
        <f>IF(SUM(AR60:AS60)=0,"",AR60&amp;":"&amp;AS60)</f>
      </c>
      <c r="Z59" s="262"/>
      <c r="AA59" s="290"/>
      <c r="AB59" s="290"/>
      <c r="AC59" s="292"/>
      <c r="AD59" s="2"/>
      <c r="AE59" s="11"/>
      <c r="AF59" s="11"/>
      <c r="AG59" s="13"/>
      <c r="AH59" s="293" t="s">
        <v>12</v>
      </c>
      <c r="AI59" s="294"/>
      <c r="AJ59" s="274" t="s">
        <v>13</v>
      </c>
      <c r="AK59" s="294"/>
      <c r="AL59" s="274" t="s">
        <v>14</v>
      </c>
      <c r="AM59" s="295"/>
      <c r="AN59" s="293" t="s">
        <v>12</v>
      </c>
      <c r="AO59" s="294"/>
      <c r="AP59" s="274" t="s">
        <v>13</v>
      </c>
      <c r="AQ59" s="294"/>
      <c r="AR59" s="274" t="s">
        <v>14</v>
      </c>
      <c r="AS59" s="294"/>
      <c r="AT59" s="11"/>
      <c r="AU59" s="11"/>
      <c r="AV59" s="293">
        <v>1</v>
      </c>
      <c r="AW59" s="294"/>
      <c r="AX59" s="274">
        <v>2</v>
      </c>
      <c r="AY59" s="294"/>
      <c r="AZ59" s="274">
        <v>3</v>
      </c>
      <c r="BA59" s="295"/>
      <c r="BD59" s="293" t="s">
        <v>3</v>
      </c>
      <c r="BE59" s="295"/>
      <c r="BF59" s="293" t="s">
        <v>4</v>
      </c>
      <c r="BG59" s="295"/>
      <c r="BH59" s="293" t="s">
        <v>5</v>
      </c>
      <c r="BI59" s="295"/>
      <c r="BJ59" s="40" t="s">
        <v>6</v>
      </c>
      <c r="BK59" s="18">
        <f>SUM(BK60:BK62)</f>
        <v>0</v>
      </c>
    </row>
    <row r="60" spans="1:63" ht="11.25" customHeight="1">
      <c r="A60" s="17">
        <f>S60</f>
        <v>6</v>
      </c>
      <c r="B60" s="2" t="str">
        <f>IF(N58="","",N58)</f>
        <v>D0003</v>
      </c>
      <c r="C60" s="2">
        <f>IF(N59="","",N59)</f>
      </c>
      <c r="D60" s="2" t="str">
        <f>IF(N64="","",N64)</f>
        <v>W0010</v>
      </c>
      <c r="E60" s="2">
        <f>IF(N65="","",N65)</f>
      </c>
      <c r="I60" s="2" t="str">
        <f>"2"&amp;O56&amp;N57</f>
        <v>25Runners Up</v>
      </c>
      <c r="J60" s="9" t="str">
        <f>IF(AC60="","",IF(AC57=2,N58,IF(AC60=2,N61,IF(AC63=2,N64,""))))</f>
        <v>M0012</v>
      </c>
      <c r="K60" s="9">
        <f>IF(AC60="","",IF(AC57=2,N59,IF(AC60=2,N62,IF(AC63=2,N65,""))))</f>
        <v>0</v>
      </c>
      <c r="M60" s="41" t="str">
        <f>N57</f>
        <v>Runners Up</v>
      </c>
      <c r="O60" s="36"/>
      <c r="P60" s="36"/>
      <c r="Q60" s="42">
        <f>IF(AT60&gt;0,"",IF(A60=0,"",IF(VLOOKUP(A60,'[1]plan gier'!A:S,19,FALSE)="","",VLOOKUP(A60,'[1]plan gier'!A:S,19,FALSE))))</f>
      </c>
      <c r="R60" s="43" t="s">
        <v>15</v>
      </c>
      <c r="S60" s="90">
        <v>6</v>
      </c>
      <c r="T60" s="269">
        <v>2</v>
      </c>
      <c r="U60" s="270">
        <f>IF(AND(N61&lt;&gt;"",N62&lt;&gt;""),CONCATENATE(VLOOKUP(N61,'[1]zawodnicy'!$A:$E,1,FALSE)," ",VLOOKUP(N61,'[1]zawodnicy'!$A:$E,2,FALSE)," ",VLOOKUP(N61,'[1]zawodnicy'!$A:$E,3,FALSE)," - ",VLOOKUP(N61,'[1]zawodnicy'!$A:$E,4,FALSE)),"")</f>
      </c>
      <c r="V60" s="299"/>
      <c r="W60" s="45" t="str">
        <f>IF(SUM(AN62:AO62)=0,"",AO62&amp;":"&amp;AN62)</f>
        <v>21:0</v>
      </c>
      <c r="X60" s="77"/>
      <c r="Y60" s="48" t="str">
        <f>IF(SUM(AN61:AO61)=0,"",AN61&amp;":"&amp;AO61)</f>
        <v>10:21</v>
      </c>
      <c r="Z60" s="269" t="str">
        <f>IF(SUM(AV61:AW61,AZ61:BA61)=0,"",BD61&amp;":"&amp;BE61)</f>
        <v>88:57</v>
      </c>
      <c r="AA60" s="272" t="str">
        <f>IF(SUM(AV61:AW61,AZ61:BA61)=0,"",BF61&amp;":"&amp;BG61)</f>
        <v>3:2</v>
      </c>
      <c r="AB60" s="272" t="str">
        <f>IF(SUM(AV61:AW61,AZ61:BA61)=0,"",BH61&amp;":"&amp;BI61)</f>
        <v>1:1</v>
      </c>
      <c r="AC60" s="275">
        <f>IF(SUM(BH60:BH62)&gt;0,BJ61,"")</f>
        <v>2</v>
      </c>
      <c r="AD60" s="2"/>
      <c r="AE60" s="11"/>
      <c r="AF60" s="11"/>
      <c r="AG60" s="43" t="s">
        <v>15</v>
      </c>
      <c r="AH60" s="51">
        <f>IF(ISBLANK(S60),"",VLOOKUP(S60,'[1]plan gier'!$X:$AN,12,FALSE))</f>
        <v>0</v>
      </c>
      <c r="AI60" s="52">
        <f>IF(ISBLANK(S60),"",VLOOKUP(S60,'[1]plan gier'!$X:$AN,13,FALSE))</f>
        <v>21</v>
      </c>
      <c r="AJ60" s="52">
        <f>IF(ISBLANK(S60),"",VLOOKUP(S60,'[1]plan gier'!$X:$AN,14,FALSE))</f>
        <v>0</v>
      </c>
      <c r="AK60" s="52">
        <f>IF(ISBLANK(S60),"",VLOOKUP(S60,'[1]plan gier'!$X:$AN,15,FALSE))</f>
        <v>21</v>
      </c>
      <c r="AL60" s="52">
        <f>IF(ISBLANK(S60),"",VLOOKUP(S60,'[1]plan gier'!$X:$AN,16,FALSE))</f>
        <v>0</v>
      </c>
      <c r="AM60" s="52">
        <f>IF(ISBLANK(S60),"",VLOOKUP(S60,'[1]plan gier'!$X:$AN,17,FALSE))</f>
        <v>0</v>
      </c>
      <c r="AN60" s="101">
        <f aca="true" t="shared" si="7" ref="AN60:AS62">IF(AH60="",0,AH60)</f>
        <v>0</v>
      </c>
      <c r="AO60" s="50">
        <f t="shared" si="7"/>
        <v>21</v>
      </c>
      <c r="AP60" s="102">
        <f t="shared" si="7"/>
        <v>0</v>
      </c>
      <c r="AQ60" s="50">
        <f t="shared" si="7"/>
        <v>21</v>
      </c>
      <c r="AR60" s="102">
        <f t="shared" si="7"/>
        <v>0</v>
      </c>
      <c r="AS60" s="50">
        <f t="shared" si="7"/>
        <v>0</v>
      </c>
      <c r="AT60" s="103">
        <f>SUM(AN60:AS60)</f>
        <v>42</v>
      </c>
      <c r="AU60" s="12">
        <v>1</v>
      </c>
      <c r="AV60" s="104"/>
      <c r="AW60" s="105"/>
      <c r="AX60" s="52">
        <f>IF(AH62&gt;AI62,1,0)+IF(AJ62&gt;AK62,1,0)+IF(AL62&gt;AM62,1,0)</f>
        <v>0</v>
      </c>
      <c r="AY60" s="52">
        <f>AV61</f>
        <v>2</v>
      </c>
      <c r="AZ60" s="52">
        <f>IF(AH60&gt;AI60,1,0)+IF(AJ60&gt;AK60,1,0)+IF(AL60&gt;AM60,1,0)</f>
        <v>0</v>
      </c>
      <c r="BA60" s="53">
        <f>AV62</f>
        <v>2</v>
      </c>
      <c r="BD60" s="51">
        <f>AN60+AP60+AR60+AN62+AP62+AR62</f>
        <v>0</v>
      </c>
      <c r="BE60" s="53">
        <f>AO60+AQ60+AS60+AO62+AQ62+AS62</f>
        <v>84</v>
      </c>
      <c r="BF60" s="51">
        <f>AX60+AZ60</f>
        <v>0</v>
      </c>
      <c r="BG60" s="53">
        <f>AY60+BA60</f>
        <v>4</v>
      </c>
      <c r="BH60" s="51">
        <f>IF(AX60&gt;AY60,1,0)+IF(AZ60&gt;BA60,1,0)</f>
        <v>0</v>
      </c>
      <c r="BI60" s="56">
        <f>IF(AY60&gt;AX60,1,0)+IF(BA60&gt;AZ60,1,0)</f>
        <v>2</v>
      </c>
      <c r="BJ60" s="106">
        <f>IF(BH60+BI60=0,"",IF(BK60=MAX(BK60:BK62),1,IF(BK60=MIN(BK60:BK62),3,2)))</f>
        <v>3</v>
      </c>
      <c r="BK60" s="18">
        <f>IF(BH60+BI60&lt;&gt;0,BH60-BI60+(BF60-BG60)/100+(BD60-BE60)/10000,-2)</f>
        <v>-2.0484</v>
      </c>
    </row>
    <row r="61" spans="1:63" ht="11.25" customHeight="1">
      <c r="A61" s="17">
        <f>S61</f>
        <v>14</v>
      </c>
      <c r="B61" s="2" t="str">
        <f>IF(N61="","",N61)</f>
        <v>M0012</v>
      </c>
      <c r="C61" s="2">
        <f>IF(N62="","",N62)</f>
      </c>
      <c r="D61" s="2" t="str">
        <f>IF(N64="","",N64)</f>
        <v>W0010</v>
      </c>
      <c r="E61" s="2">
        <f>IF(N65="","",N65)</f>
      </c>
      <c r="J61" s="9"/>
      <c r="K61" s="17"/>
      <c r="M61" s="41" t="str">
        <f>N57</f>
        <v>Runners Up</v>
      </c>
      <c r="N61" s="34" t="s">
        <v>34</v>
      </c>
      <c r="O61" s="35">
        <f>IF(O56&gt;0,(O56&amp;2)*1,"")</f>
        <v>52</v>
      </c>
      <c r="Q61" s="42">
        <f>IF(AT61&gt;0,"",IF(A61=0,"",IF(VLOOKUP(A61,'[1]plan gier'!A:S,19,FALSE)="","",VLOOKUP(A61,'[1]plan gier'!A:S,19,FALSE))))</f>
      </c>
      <c r="R61" s="43" t="s">
        <v>19</v>
      </c>
      <c r="S61" s="90">
        <v>14</v>
      </c>
      <c r="T61" s="261"/>
      <c r="U61" s="263" t="str">
        <f>IF(AND(N61&lt;&gt;"",N62=""),CONCATENATE(VLOOKUP(N61,'[1]zawodnicy'!$A:$E,1,FALSE)," ",VLOOKUP(N61,'[1]zawodnicy'!$A:$E,2,FALSE)," ",VLOOKUP(N61,'[1]zawodnicy'!$A:$E,3,FALSE)," - ",VLOOKUP(N61,'[1]zawodnicy'!$A:$E,4,FALSE)),"")</f>
        <v>M0012 Jarosław MAZUR - Mielec</v>
      </c>
      <c r="V61" s="284"/>
      <c r="W61" s="61" t="str">
        <f>IF(SUM(AP62:AQ62)=0,"",AQ62&amp;":"&amp;AP62)</f>
        <v>21:0</v>
      </c>
      <c r="X61" s="87"/>
      <c r="Y61" s="63" t="str">
        <f>IF(SUM(AP61:AQ61)=0,"",AP61&amp;":"&amp;AQ61)</f>
        <v>21:15</v>
      </c>
      <c r="Z61" s="261"/>
      <c r="AA61" s="265"/>
      <c r="AB61" s="265"/>
      <c r="AC61" s="266"/>
      <c r="AD61" s="2"/>
      <c r="AE61" s="11"/>
      <c r="AF61" s="11"/>
      <c r="AG61" s="43" t="s">
        <v>19</v>
      </c>
      <c r="AH61" s="64">
        <f>IF(ISBLANK(S61),"",VLOOKUP(S61,'[1]plan gier'!$X:$AN,12,FALSE))</f>
        <v>10</v>
      </c>
      <c r="AI61" s="65">
        <f>IF(ISBLANK(S61),"",VLOOKUP(S61,'[1]plan gier'!$X:$AN,13,FALSE))</f>
        <v>21</v>
      </c>
      <c r="AJ61" s="65">
        <f>IF(ISBLANK(S61),"",VLOOKUP(S61,'[1]plan gier'!$X:$AN,14,FALSE))</f>
        <v>21</v>
      </c>
      <c r="AK61" s="65">
        <f>IF(ISBLANK(S61),"",VLOOKUP(S61,'[1]plan gier'!$X:$AN,15,FALSE))</f>
        <v>15</v>
      </c>
      <c r="AL61" s="65">
        <f>IF(ISBLANK(S61),"",VLOOKUP(S61,'[1]plan gier'!$X:$AN,16,FALSE))</f>
        <v>15</v>
      </c>
      <c r="AM61" s="65">
        <f>IF(ISBLANK(S61),"",VLOOKUP(S61,'[1]plan gier'!$X:$AN,17,FALSE))</f>
        <v>21</v>
      </c>
      <c r="AN61" s="107">
        <f t="shared" si="7"/>
        <v>10</v>
      </c>
      <c r="AO61" s="65">
        <f t="shared" si="7"/>
        <v>21</v>
      </c>
      <c r="AP61" s="108">
        <f t="shared" si="7"/>
        <v>21</v>
      </c>
      <c r="AQ61" s="65">
        <f t="shared" si="7"/>
        <v>15</v>
      </c>
      <c r="AR61" s="108">
        <f t="shared" si="7"/>
        <v>15</v>
      </c>
      <c r="AS61" s="65">
        <f t="shared" si="7"/>
        <v>21</v>
      </c>
      <c r="AT61" s="103">
        <f>SUM(AN61:AS61)</f>
        <v>103</v>
      </c>
      <c r="AU61" s="12">
        <v>2</v>
      </c>
      <c r="AV61" s="64">
        <f>IF(AH62&lt;AI62,1,0)+IF(AJ62&lt;AK62,1,0)+IF(AL62&lt;AM62,1,0)</f>
        <v>2</v>
      </c>
      <c r="AW61" s="65">
        <f>AX60</f>
        <v>0</v>
      </c>
      <c r="AX61" s="109"/>
      <c r="AY61" s="110"/>
      <c r="AZ61" s="65">
        <f>IF(AH61&gt;AI61,1,0)+IF(AJ61&gt;AK61,1,0)+IF(AL61&gt;AM61,1,0)</f>
        <v>1</v>
      </c>
      <c r="BA61" s="66">
        <f>AX62</f>
        <v>2</v>
      </c>
      <c r="BD61" s="64">
        <f>AN61+AP61+AR61+AO62+AQ62+AS62</f>
        <v>88</v>
      </c>
      <c r="BE61" s="66">
        <f>AO61+AQ61+AS61+AN62+AP62+AR62</f>
        <v>57</v>
      </c>
      <c r="BF61" s="64">
        <f>AV61+AZ61</f>
        <v>3</v>
      </c>
      <c r="BG61" s="66">
        <f>AW61+BA61</f>
        <v>2</v>
      </c>
      <c r="BH61" s="64">
        <f>IF(AV61&gt;AW61,1,0)+IF(AZ61&gt;BA61,1,0)</f>
        <v>1</v>
      </c>
      <c r="BI61" s="70">
        <f>IF(AW61&gt;AV61,1,0)+IF(BA61&gt;AZ61,1,0)</f>
        <v>1</v>
      </c>
      <c r="BJ61" s="71">
        <f>IF(BH61+BI61=0,"",IF(BK61=MAX(BK60:BK62),1,IF(BK61=MIN(BK60:BK62),3,2)))</f>
        <v>2</v>
      </c>
      <c r="BK61" s="18">
        <f>IF(BH61+BI61&lt;&gt;0,BH61-BI61+(BF61-BG61)/100+(BD61-BE61)/10000,-2)</f>
        <v>0.0131</v>
      </c>
    </row>
    <row r="62" spans="1:63" ht="11.25" customHeight="1" thickBot="1">
      <c r="A62" s="17">
        <f>S62</f>
        <v>22</v>
      </c>
      <c r="B62" s="2" t="str">
        <f>IF(N58="","",N58)</f>
        <v>D0003</v>
      </c>
      <c r="C62" s="2">
        <f>IF(N59="","",N59)</f>
      </c>
      <c r="D62" s="2" t="str">
        <f>IF(N61="","",N61)</f>
        <v>M0012</v>
      </c>
      <c r="E62" s="2">
        <f>IF(N62="","",N62)</f>
      </c>
      <c r="I62" s="2" t="str">
        <f>"3"&amp;O56&amp;N57</f>
        <v>35Runners Up</v>
      </c>
      <c r="J62" s="9" t="str">
        <f>IF(AC63="","",IF(AC57=3,N58,IF(AC60=3,N61,IF(AC63=3,N64,""))))</f>
        <v>D0003</v>
      </c>
      <c r="K62" s="9">
        <f>IF(AC63="","",IF(AC57=3,N59,IF(AC60=3,N62,IF(AC63=3,N65,""))))</f>
        <v>0</v>
      </c>
      <c r="M62" s="41" t="str">
        <f>N57</f>
        <v>Runners Up</v>
      </c>
      <c r="N62" s="37"/>
      <c r="O62" s="36"/>
      <c r="P62" s="36"/>
      <c r="Q62" s="42">
        <f>IF(AT62&gt;0,"",IF(A62=0,"",IF(VLOOKUP(A62,'[1]plan gier'!A:S,19,FALSE)="","",VLOOKUP(A62,'[1]plan gier'!A:S,19,FALSE))))</f>
      </c>
      <c r="R62" s="111" t="s">
        <v>22</v>
      </c>
      <c r="S62" s="90">
        <v>22</v>
      </c>
      <c r="T62" s="262"/>
      <c r="U62" s="267">
        <f>IF(N62&lt;&gt;"",CONCATENATE(VLOOKUP(N62,'[1]zawodnicy'!$A:$E,1,FALSE)," ",VLOOKUP(N62,'[1]zawodnicy'!$A:$E,2,FALSE)," ",VLOOKUP(N62,'[1]zawodnicy'!$A:$E,3,FALSE)," - ",VLOOKUP(N62,'[1]zawodnicy'!$A:$E,4,FALSE)),"")</f>
      </c>
      <c r="V62" s="285"/>
      <c r="W62" s="72">
        <f>IF(SUM(AR62:AS62)=0,"",AS62&amp;":"&amp;AR62)</f>
      </c>
      <c r="X62" s="87"/>
      <c r="Y62" s="73" t="str">
        <f>IF(SUM(AR61:AS61)=0,"",AR61&amp;":"&amp;AS61)</f>
        <v>15:21</v>
      </c>
      <c r="Z62" s="262"/>
      <c r="AA62" s="290"/>
      <c r="AB62" s="290"/>
      <c r="AC62" s="292"/>
      <c r="AD62" s="2"/>
      <c r="AE62" s="11"/>
      <c r="AF62" s="11"/>
      <c r="AG62" s="111" t="s">
        <v>22</v>
      </c>
      <c r="AH62" s="83">
        <f>IF(ISBLANK(S62),"",VLOOKUP(S62,'[1]plan gier'!$X:$AN,12,FALSE))</f>
        <v>0</v>
      </c>
      <c r="AI62" s="80">
        <f>IF(ISBLANK(S62),"",VLOOKUP(S62,'[1]plan gier'!$X:$AN,13,FALSE))</f>
        <v>21</v>
      </c>
      <c r="AJ62" s="80">
        <f>IF(ISBLANK(S62),"",VLOOKUP(S62,'[1]plan gier'!$X:$AN,14,FALSE))</f>
        <v>0</v>
      </c>
      <c r="AK62" s="80">
        <f>IF(ISBLANK(S62),"",VLOOKUP(S62,'[1]plan gier'!$X:$AN,15,FALSE))</f>
        <v>21</v>
      </c>
      <c r="AL62" s="80">
        <f>IF(ISBLANK(S62),"",VLOOKUP(S62,'[1]plan gier'!$X:$AN,16,FALSE))</f>
        <v>0</v>
      </c>
      <c r="AM62" s="80">
        <f>IF(ISBLANK(S62),"",VLOOKUP(S62,'[1]plan gier'!$X:$AN,17,FALSE))</f>
        <v>0</v>
      </c>
      <c r="AN62" s="112">
        <f t="shared" si="7"/>
        <v>0</v>
      </c>
      <c r="AO62" s="80">
        <f t="shared" si="7"/>
        <v>21</v>
      </c>
      <c r="AP62" s="113">
        <f t="shared" si="7"/>
        <v>0</v>
      </c>
      <c r="AQ62" s="80">
        <f t="shared" si="7"/>
        <v>21</v>
      </c>
      <c r="AR62" s="113">
        <f t="shared" si="7"/>
        <v>0</v>
      </c>
      <c r="AS62" s="80">
        <f t="shared" si="7"/>
        <v>0</v>
      </c>
      <c r="AT62" s="103">
        <f>SUM(AN62:AS62)</f>
        <v>42</v>
      </c>
      <c r="AU62" s="12">
        <v>3</v>
      </c>
      <c r="AV62" s="83">
        <f>IF(AH60&lt;AI60,1,0)+IF(AJ60&lt;AK60,1,0)+IF(AL60&lt;AM60,1,0)</f>
        <v>2</v>
      </c>
      <c r="AW62" s="80">
        <f>AZ60</f>
        <v>0</v>
      </c>
      <c r="AX62" s="80">
        <f>IF(AH61&lt;AI61,1,0)+IF(AJ61&lt;AK61,1,0)+IF(AL61&lt;AM61,1,0)</f>
        <v>2</v>
      </c>
      <c r="AY62" s="80">
        <f>AZ61</f>
        <v>1</v>
      </c>
      <c r="AZ62" s="114"/>
      <c r="BA62" s="115"/>
      <c r="BD62" s="83">
        <f>AO60+AQ60+AS60+AO61+AQ61+AS61</f>
        <v>99</v>
      </c>
      <c r="BE62" s="85">
        <f>AN60+AP60+AR60+AN61+AP61+AR61</f>
        <v>46</v>
      </c>
      <c r="BF62" s="83">
        <f>AV62+AX62</f>
        <v>4</v>
      </c>
      <c r="BG62" s="85">
        <f>AW62+AY62</f>
        <v>1</v>
      </c>
      <c r="BH62" s="83">
        <f>IF(AV62&gt;AW62,1,0)+IF(AX62&gt;AY62,1,0)</f>
        <v>2</v>
      </c>
      <c r="BI62" s="84">
        <f>IF(AW62&gt;AV62,1,0)+IF(AY62&gt;AX62,1,0)</f>
        <v>0</v>
      </c>
      <c r="BJ62" s="86">
        <f>IF(BH62+BI62=0,"",IF(BK62=MAX(BK60:BK62),1,IF(BK62=MIN(BK60:BK62),3,2)))</f>
        <v>1</v>
      </c>
      <c r="BK62" s="18">
        <f>IF(BH62+BI62&lt;&gt;0,BH62-BI62+(BF62-BG62)/100+(BD62-BE62)/10000,-2)</f>
        <v>2.0353</v>
      </c>
    </row>
    <row r="63" spans="1:59" ht="11.25" customHeight="1">
      <c r="A63" s="2"/>
      <c r="J63" s="36"/>
      <c r="K63" s="36"/>
      <c r="L63" s="36"/>
      <c r="O63" s="36"/>
      <c r="P63" s="36"/>
      <c r="Q63" s="2"/>
      <c r="R63" s="2"/>
      <c r="S63" s="2"/>
      <c r="T63" s="269">
        <v>3</v>
      </c>
      <c r="U63" s="270">
        <f>IF(AND(N64&lt;&gt;"",N65&lt;&gt;""),CONCATENATE(VLOOKUP(N64,'[1]zawodnicy'!$A:$E,1,FALSE)," ",VLOOKUP(N64,'[1]zawodnicy'!$A:$E,2,FALSE)," ",VLOOKUP(N64,'[1]zawodnicy'!$A:$E,3,FALSE)," - ",VLOOKUP(N64,'[1]zawodnicy'!$A:$E,4,FALSE)),"")</f>
      </c>
      <c r="V63" s="299"/>
      <c r="W63" s="45" t="str">
        <f>IF(SUM(AN60:AO60)=0,"",AO60&amp;":"&amp;AN60)</f>
        <v>21:0</v>
      </c>
      <c r="X63" s="47" t="str">
        <f>IF(SUM(AN61:AO61)=0,"",AO61&amp;":"&amp;AN61)</f>
        <v>21:10</v>
      </c>
      <c r="Y63" s="116"/>
      <c r="Z63" s="269" t="str">
        <f>IF(SUM(AV62:AY62)=0,"",BD62&amp;":"&amp;BE62)</f>
        <v>99:46</v>
      </c>
      <c r="AA63" s="272" t="str">
        <f>IF(SUM(AV62:AY62)=0,"",BF62&amp;":"&amp;BG62)</f>
        <v>4:1</v>
      </c>
      <c r="AB63" s="272" t="str">
        <f>IF(SUM(AV62:AY62)=0,"",BH62&amp;":"&amp;BI62)</f>
        <v>2:0</v>
      </c>
      <c r="AC63" s="275">
        <f>IF(SUM(BH60:BH62)&gt;0,BJ62,"")</f>
        <v>1</v>
      </c>
      <c r="AD63" s="2"/>
      <c r="AE63" s="11"/>
      <c r="AF63" s="11"/>
      <c r="BD63" s="17">
        <f>SUM(BD60:BD62)</f>
        <v>187</v>
      </c>
      <c r="BE63" s="17">
        <f>SUM(BE60:BE62)</f>
        <v>187</v>
      </c>
      <c r="BF63" s="17">
        <f>SUM(BF60:BF62)</f>
        <v>7</v>
      </c>
      <c r="BG63" s="17">
        <f>SUM(BG60:BG62)</f>
        <v>7</v>
      </c>
    </row>
    <row r="64" spans="1:63" ht="11.25" customHeight="1">
      <c r="A64" s="17"/>
      <c r="J64" s="17"/>
      <c r="K64" s="17"/>
      <c r="L64" s="17"/>
      <c r="N64" s="34" t="s">
        <v>35</v>
      </c>
      <c r="O64" s="35">
        <f>IF(O56&gt;0,(O56&amp;3)*1,"")</f>
        <v>53</v>
      </c>
      <c r="Q64" s="89"/>
      <c r="R64" s="89"/>
      <c r="S64" s="90"/>
      <c r="T64" s="261"/>
      <c r="U64" s="263" t="str">
        <f>IF(AND(N64&lt;&gt;"",N65=""),CONCATENATE(VLOOKUP(N64,'[1]zawodnicy'!$A:$E,1,FALSE)," ",VLOOKUP(N64,'[1]zawodnicy'!$A:$E,2,FALSE)," ",VLOOKUP(N64,'[1]zawodnicy'!$A:$E,3,FALSE)," - ",VLOOKUP(N64,'[1]zawodnicy'!$A:$E,4,FALSE)),"")</f>
        <v>W0010 Dariusz WALAS - Rzeszów</v>
      </c>
      <c r="V64" s="284"/>
      <c r="W64" s="61" t="str">
        <f>IF(SUM(AP60:AQ60)=0,"",AQ60&amp;":"&amp;AP60)</f>
        <v>21:0</v>
      </c>
      <c r="X64" s="32" t="str">
        <f>IF(SUM(AP61:AQ61)=0,"",AQ61&amp;":"&amp;AP61)</f>
        <v>15:21</v>
      </c>
      <c r="Y64" s="117"/>
      <c r="Z64" s="261"/>
      <c r="AA64" s="265"/>
      <c r="AB64" s="265"/>
      <c r="AC64" s="266"/>
      <c r="AD64" s="2"/>
      <c r="AE64" s="11"/>
      <c r="AF64" s="11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1:63" ht="11.25" customHeight="1" thickBot="1">
      <c r="A65" s="2"/>
      <c r="J65" s="36"/>
      <c r="K65" s="36"/>
      <c r="L65" s="36"/>
      <c r="N65" s="37"/>
      <c r="O65" s="36"/>
      <c r="P65" s="36"/>
      <c r="Q65" s="2"/>
      <c r="R65" s="2"/>
      <c r="S65" s="2"/>
      <c r="T65" s="286"/>
      <c r="U65" s="296">
        <f>IF(N65&lt;&gt;"",CONCATENATE(VLOOKUP(N65,'[1]zawodnicy'!$A:$E,1,FALSE)," ",VLOOKUP(N65,'[1]zawodnicy'!$A:$E,2,FALSE)," ",VLOOKUP(N65,'[1]zawodnicy'!$A:$E,3,FALSE)," - ",VLOOKUP(N65,'[1]zawodnicy'!$A:$E,4,FALSE)),"")</f>
      </c>
      <c r="V65" s="298"/>
      <c r="W65" s="92">
        <f>IF(SUM(AR60:AS60)=0,"",AS60&amp;":"&amp;AR60)</f>
      </c>
      <c r="X65" s="93" t="str">
        <f>IF(SUM(AR61:AS61)=0,"",AS61&amp;":"&amp;AR61)</f>
        <v>21:15</v>
      </c>
      <c r="Y65" s="94"/>
      <c r="Z65" s="286"/>
      <c r="AA65" s="287"/>
      <c r="AB65" s="287"/>
      <c r="AC65" s="288"/>
      <c r="AD65" s="9"/>
      <c r="AE65" s="11"/>
      <c r="AF65" s="11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ht="11.25" customHeight="1"/>
    <row r="67" ht="11.25" customHeight="1" thickBot="1"/>
    <row r="68" spans="14:45" ht="11.25" customHeight="1" thickBot="1">
      <c r="N68" s="20"/>
      <c r="O68" s="21">
        <v>6</v>
      </c>
      <c r="Q68" s="252" t="str">
        <f>"Grupa "&amp;O68&amp;"."</f>
        <v>Grupa 6.</v>
      </c>
      <c r="R68" s="252"/>
      <c r="S68" s="253"/>
      <c r="T68" s="22" t="s">
        <v>1</v>
      </c>
      <c r="U68" s="254" t="s">
        <v>2</v>
      </c>
      <c r="V68" s="255"/>
      <c r="W68" s="22">
        <v>1</v>
      </c>
      <c r="X68" s="23">
        <v>2</v>
      </c>
      <c r="Y68" s="24">
        <v>3</v>
      </c>
      <c r="Z68" s="25">
        <v>4</v>
      </c>
      <c r="AA68" s="26" t="s">
        <v>3</v>
      </c>
      <c r="AB68" s="27" t="s">
        <v>4</v>
      </c>
      <c r="AC68" s="28" t="s">
        <v>5</v>
      </c>
      <c r="AD68" s="29" t="s">
        <v>6</v>
      </c>
      <c r="AE68" s="11"/>
      <c r="AF68" s="11"/>
      <c r="AH68" s="256" t="s">
        <v>7</v>
      </c>
      <c r="AI68" s="256"/>
      <c r="AJ68" s="256"/>
      <c r="AK68" s="256"/>
      <c r="AL68" s="256"/>
      <c r="AM68" s="256"/>
      <c r="AN68" s="256" t="s">
        <v>8</v>
      </c>
      <c r="AO68" s="256"/>
      <c r="AP68" s="256"/>
      <c r="AQ68" s="256"/>
      <c r="AR68" s="256"/>
      <c r="AS68" s="256"/>
    </row>
    <row r="69" spans="14:32" ht="11.25" customHeight="1">
      <c r="N69" s="30" t="s">
        <v>0</v>
      </c>
      <c r="Q69" s="259" t="s">
        <v>9</v>
      </c>
      <c r="R69" s="259"/>
      <c r="S69" s="260" t="s">
        <v>10</v>
      </c>
      <c r="T69" s="261">
        <v>1</v>
      </c>
      <c r="U69" s="263">
        <f>IF(AND(N70&lt;&gt;"",N71&lt;&gt;""),CONCATENATE(VLOOKUP(N70,'[1]zawodnicy'!$A:$E,1,FALSE)," ",VLOOKUP(N70,'[1]zawodnicy'!$A:$E,2,FALSE)," ",VLOOKUP(N70,'[1]zawodnicy'!$A:$E,3,FALSE)," - ",VLOOKUP(N70,'[1]zawodnicy'!$A:$E,4,FALSE)),"")</f>
      </c>
      <c r="V69" s="264"/>
      <c r="W69" s="31"/>
      <c r="X69" s="32" t="str">
        <f>IF(SUM(AN77:AO77)=0,"",AN77&amp;":"&amp;AO77)</f>
        <v>21:2</v>
      </c>
      <c r="Y69" s="32" t="str">
        <f>IF(SUM(AN72:AO72)=0,"",AN72&amp;":"&amp;AO72)</f>
        <v>21:14</v>
      </c>
      <c r="Z69" s="33" t="str">
        <f>IF(SUM(AN74:AO74)=0,"",AN74&amp;":"&amp;AO74)</f>
        <v>18:21</v>
      </c>
      <c r="AA69" s="261" t="str">
        <f>IF(SUM(AX72:BC72)=0,"",BD72&amp;":"&amp;BE72)</f>
        <v>144:81</v>
      </c>
      <c r="AB69" s="265" t="str">
        <f>IF(SUM(AX72:BC72)=0,"",BF72&amp;":"&amp;BG72)</f>
        <v>6:1</v>
      </c>
      <c r="AC69" s="265" t="str">
        <f>IF(SUM(AX72:BC72)=0,"",BH72&amp;":"&amp;BI72)</f>
        <v>3:0</v>
      </c>
      <c r="AD69" s="266">
        <f>IF(SUM(BH72:BH75)&gt;0,BJ72,"")</f>
        <v>1</v>
      </c>
      <c r="AE69" s="11"/>
      <c r="AF69" s="11"/>
    </row>
    <row r="70" spans="8:32" ht="11.25" customHeight="1" thickBot="1">
      <c r="H70" s="9"/>
      <c r="I70" s="2" t="str">
        <f>"1"&amp;O68&amp;N69</f>
        <v>16Runners Up</v>
      </c>
      <c r="J70" s="9" t="str">
        <f>IF(AD69="","",IF(AD69=1,N70,IF(AD72=1,N73,IF(AD75=1,N76,IF(AD78=1,N79,"")))))</f>
        <v>B0009</v>
      </c>
      <c r="K70" s="9">
        <f>IF(AD69="","",IF(AD69=1,N71,IF(AD72=1,N74,IF(AD75=1,N77,IF(AD78=1,N80,"")))))</f>
        <v>0</v>
      </c>
      <c r="L70" s="9"/>
      <c r="N70" s="34" t="s">
        <v>36</v>
      </c>
      <c r="O70" s="35">
        <f>IF(O68&gt;0,(O68&amp;1)*1,"")</f>
        <v>61</v>
      </c>
      <c r="Q70" s="259"/>
      <c r="R70" s="259"/>
      <c r="S70" s="260"/>
      <c r="T70" s="261"/>
      <c r="U70" s="263" t="str">
        <f>IF(AND(N70&lt;&gt;"",N71=""),CONCATENATE(VLOOKUP(N70,'[1]zawodnicy'!$A:$E,1,FALSE)," ",VLOOKUP(N70,'[1]zawodnicy'!$A:$E,2,FALSE)," ",VLOOKUP(N70,'[1]zawodnicy'!$A:$E,3,FALSE)," - ",VLOOKUP(N70,'[1]zawodnicy'!$A:$E,4,FALSE)),"")</f>
        <v>B0009 Adam BUNIO - Nowa Dęba</v>
      </c>
      <c r="V70" s="264"/>
      <c r="W70" s="31"/>
      <c r="X70" s="32" t="str">
        <f>IF(SUM(AP77:AQ77)=0,"",AP77&amp;":"&amp;AQ77)</f>
        <v>21:12</v>
      </c>
      <c r="Y70" s="32" t="str">
        <f>IF(SUM(AP72:AQ72)=0,"",AP72&amp;":"&amp;AQ72)</f>
        <v>21:11</v>
      </c>
      <c r="Z70" s="33" t="str">
        <f>IF(SUM(AP74:AQ74)=0,"",AP74&amp;":"&amp;AQ74)</f>
        <v>21:12</v>
      </c>
      <c r="AA70" s="261"/>
      <c r="AB70" s="265"/>
      <c r="AC70" s="265"/>
      <c r="AD70" s="266"/>
      <c r="AE70" s="11"/>
      <c r="AF70" s="11"/>
    </row>
    <row r="71" spans="10:62" ht="11.25" customHeight="1" thickBot="1">
      <c r="J71" s="9"/>
      <c r="K71" s="36"/>
      <c r="L71" s="36"/>
      <c r="N71" s="37"/>
      <c r="O71" s="36"/>
      <c r="P71" s="36"/>
      <c r="Q71" s="259"/>
      <c r="R71" s="259"/>
      <c r="S71" s="260"/>
      <c r="T71" s="262"/>
      <c r="U71" s="267">
        <f>IF(N71&lt;&gt;"",CONCATENATE(VLOOKUP(N71,'[1]zawodnicy'!$A:$E,1,FALSE)," ",VLOOKUP(N71,'[1]zawodnicy'!$A:$E,2,FALSE)," ",VLOOKUP(N71,'[1]zawodnicy'!$A:$E,3,FALSE)," - ",VLOOKUP(N71,'[1]zawodnicy'!$A:$E,4,FALSE)),"")</f>
      </c>
      <c r="V71" s="268"/>
      <c r="W71" s="31"/>
      <c r="X71" s="38">
        <f>IF(SUM(AR77:AS77)=0,"",AR77&amp;":"&amp;AS77)</f>
      </c>
      <c r="Y71" s="38">
        <f>IF(SUM(AR72:AS72)=0,"",AR72&amp;":"&amp;AS72)</f>
      </c>
      <c r="Z71" s="39" t="str">
        <f>IF(SUM(AR74:AS74)=0,"",AR74&amp;":"&amp;AS74)</f>
        <v>21:9</v>
      </c>
      <c r="AA71" s="261"/>
      <c r="AB71" s="265"/>
      <c r="AC71" s="265"/>
      <c r="AD71" s="266"/>
      <c r="AE71" s="11"/>
      <c r="AF71" s="11"/>
      <c r="AH71" s="258" t="s">
        <v>12</v>
      </c>
      <c r="AI71" s="257"/>
      <c r="AJ71" s="257" t="s">
        <v>13</v>
      </c>
      <c r="AK71" s="257"/>
      <c r="AL71" s="257" t="s">
        <v>14</v>
      </c>
      <c r="AM71" s="257"/>
      <c r="AN71" s="258" t="s">
        <v>12</v>
      </c>
      <c r="AO71" s="257"/>
      <c r="AP71" s="257" t="s">
        <v>13</v>
      </c>
      <c r="AQ71" s="257"/>
      <c r="AR71" s="257" t="s">
        <v>14</v>
      </c>
      <c r="AS71" s="273"/>
      <c r="AV71" s="258">
        <v>1</v>
      </c>
      <c r="AW71" s="257"/>
      <c r="AX71" s="257">
        <v>2</v>
      </c>
      <c r="AY71" s="257"/>
      <c r="AZ71" s="257">
        <v>3</v>
      </c>
      <c r="BA71" s="257"/>
      <c r="BB71" s="257">
        <v>4</v>
      </c>
      <c r="BC71" s="273"/>
      <c r="BD71" s="258" t="s">
        <v>3</v>
      </c>
      <c r="BE71" s="273"/>
      <c r="BF71" s="258" t="s">
        <v>4</v>
      </c>
      <c r="BG71" s="273"/>
      <c r="BH71" s="258" t="s">
        <v>5</v>
      </c>
      <c r="BI71" s="274"/>
      <c r="BJ71" s="40" t="s">
        <v>6</v>
      </c>
    </row>
    <row r="72" spans="1:63" ht="11.25" customHeight="1">
      <c r="A72" s="17">
        <f aca="true" t="shared" si="8" ref="A72:A77">S72</f>
        <v>7</v>
      </c>
      <c r="B72" s="17" t="str">
        <f>IF(N70="","",N70)</f>
        <v>B0009</v>
      </c>
      <c r="C72" s="17">
        <f>IF(N71="","",N71)</f>
      </c>
      <c r="D72" s="17" t="str">
        <f>IF(N76="","",N76)</f>
        <v>M0019</v>
      </c>
      <c r="E72" s="17">
        <f>IF(N77="","",N77)</f>
      </c>
      <c r="H72" s="9"/>
      <c r="I72" s="2" t="str">
        <f>"2"&amp;O68&amp;N69</f>
        <v>26Runners Up</v>
      </c>
      <c r="J72" s="9" t="str">
        <f>IF(AD72="","",IF(AD69=2,N70,IF(AD72=2,N73,IF(AD75=2,N76,IF(AD78=2,N79,"")))))</f>
        <v>M0019</v>
      </c>
      <c r="K72" s="9">
        <f>IF(AD72="","",IF(AD69=2,N71,IF(AD72=2,N74,IF(AD75=2,N77,IF(AD78=2,N80,"")))))</f>
        <v>0</v>
      </c>
      <c r="L72" s="9"/>
      <c r="M72" s="41" t="str">
        <f>N69</f>
        <v>Runners Up</v>
      </c>
      <c r="O72" s="36"/>
      <c r="P72" s="36"/>
      <c r="Q72" s="42">
        <f>IF(AT72&gt;0,"",IF(A72=0,"",IF(VLOOKUP(A72,'[1]plan gier'!A:S,19,FALSE)="","",VLOOKUP(A72,'[1]plan gier'!A:S,19,FALSE))))</f>
      </c>
      <c r="R72" s="43" t="s">
        <v>15</v>
      </c>
      <c r="S72" s="44">
        <v>7</v>
      </c>
      <c r="T72" s="269">
        <v>2</v>
      </c>
      <c r="U72" s="270">
        <f>IF(AND(N73&lt;&gt;"",N74&lt;&gt;""),CONCATENATE(VLOOKUP(N73,'[1]zawodnicy'!$A:$E,1,FALSE)," ",VLOOKUP(N73,'[1]zawodnicy'!$A:$E,2,FALSE)," ",VLOOKUP(N73,'[1]zawodnicy'!$A:$E,3,FALSE)," - ",VLOOKUP(N73,'[1]zawodnicy'!$A:$E,4,FALSE)),"")</f>
      </c>
      <c r="V72" s="271"/>
      <c r="W72" s="45" t="str">
        <f>IF(SUM(AN77:AO77)=0,"",AO77&amp;":"&amp;AN77)</f>
        <v>2:21</v>
      </c>
      <c r="X72" s="46"/>
      <c r="Y72" s="47" t="str">
        <f>IF(SUM(AN75:AO75)=0,"",AN75&amp;":"&amp;AO75)</f>
        <v>11:21</v>
      </c>
      <c r="Z72" s="48" t="str">
        <f>IF(SUM(AN73:AO73)=0,"",AN73&amp;":"&amp;AO73)</f>
        <v>5:21</v>
      </c>
      <c r="AA72" s="269" t="str">
        <f>IF(SUM(AV73:AW73,AZ73:BC73)=0,"",BD73&amp;":"&amp;BE73)</f>
        <v>52:126</v>
      </c>
      <c r="AB72" s="272" t="str">
        <f>IF(SUM(AV73:AW73,AZ73:BC73)=0,"",BF73&amp;":"&amp;BG73)</f>
        <v>0:6</v>
      </c>
      <c r="AC72" s="272" t="str">
        <f>IF(SUM(AV73:AW73,AZ73:BC73)=0,"",BH73&amp;":"&amp;BI73)</f>
        <v>0:3</v>
      </c>
      <c r="AD72" s="275">
        <f>IF(SUM(BH72:BH75)&gt;0,BJ73,"")</f>
        <v>4</v>
      </c>
      <c r="AE72" s="11"/>
      <c r="AF72" s="11"/>
      <c r="AG72" s="43" t="s">
        <v>15</v>
      </c>
      <c r="AH72" s="49">
        <f>IF(ISBLANK(S72),"",VLOOKUP(S72,'[1]plan gier'!$X:$AN,12,FALSE))</f>
        <v>21</v>
      </c>
      <c r="AI72" s="50">
        <f>IF(ISBLANK(S72),"",VLOOKUP(S72,'[1]plan gier'!$X:$AN,13,FALSE))</f>
        <v>14</v>
      </c>
      <c r="AJ72" s="50">
        <f>IF(ISBLANK(S72),"",VLOOKUP(S72,'[1]plan gier'!$X:$AN,14,FALSE))</f>
        <v>21</v>
      </c>
      <c r="AK72" s="50">
        <f>IF(ISBLANK(S72),"",VLOOKUP(S72,'[1]plan gier'!$X:$AN,15,FALSE))</f>
        <v>11</v>
      </c>
      <c r="AL72" s="50">
        <f>IF(ISBLANK(S72),"",VLOOKUP(S72,'[1]plan gier'!$X:$AN,16,FALSE))</f>
        <v>0</v>
      </c>
      <c r="AM72" s="50">
        <f>IF(ISBLANK(S72),"",VLOOKUP(S72,'[1]plan gier'!$X:$AN,17,FALSE))</f>
        <v>0</v>
      </c>
      <c r="AN72" s="51">
        <f aca="true" t="shared" si="9" ref="AN72:AS77">IF(AH72="",0,AH72)</f>
        <v>21</v>
      </c>
      <c r="AO72" s="52">
        <f t="shared" si="9"/>
        <v>14</v>
      </c>
      <c r="AP72" s="52">
        <f t="shared" si="9"/>
        <v>21</v>
      </c>
      <c r="AQ72" s="52">
        <f t="shared" si="9"/>
        <v>11</v>
      </c>
      <c r="AR72" s="52">
        <f t="shared" si="9"/>
        <v>0</v>
      </c>
      <c r="AS72" s="53">
        <f t="shared" si="9"/>
        <v>0</v>
      </c>
      <c r="AT72" s="54">
        <f aca="true" t="shared" si="10" ref="AT72:AT77">SUM(AN72:AS72)</f>
        <v>67</v>
      </c>
      <c r="AU72" s="19">
        <v>1</v>
      </c>
      <c r="AV72" s="276"/>
      <c r="AW72" s="277"/>
      <c r="AX72" s="52">
        <f>IF(AH77&gt;AI77,1,0)+IF(AJ77&gt;AK77,1,0)+IF(AL77&gt;AM77,1,0)</f>
        <v>2</v>
      </c>
      <c r="AY72" s="52">
        <f>AV73</f>
        <v>0</v>
      </c>
      <c r="AZ72" s="52">
        <f>IF(AH72&gt;AI72,1,0)+IF(AJ72&gt;AK72,1,0)+IF(AL72&gt;AM72,1,0)</f>
        <v>2</v>
      </c>
      <c r="BA72" s="50">
        <f>AV74</f>
        <v>0</v>
      </c>
      <c r="BB72" s="55">
        <f>IF(AH74&gt;AI74,1,0)+IF(AJ74&gt;AK74,1,0)+IF(AL74&gt;AM74,1,0)</f>
        <v>2</v>
      </c>
      <c r="BC72" s="56">
        <f>AV75</f>
        <v>1</v>
      </c>
      <c r="BD72" s="49">
        <f>AN72+AP72+AR72+AN74+AP74+AR74+AN77+AP77+AR77</f>
        <v>144</v>
      </c>
      <c r="BE72" s="57">
        <f>AO72+AQ72+AS72+AO74+AQ74+AS74+AO77+AQ77+AS77</f>
        <v>81</v>
      </c>
      <c r="BF72" s="49">
        <f>AX72+AZ72+BB72</f>
        <v>6</v>
      </c>
      <c r="BG72" s="58">
        <f>AY72+BA72+BC72</f>
        <v>1</v>
      </c>
      <c r="BH72" s="49">
        <f>IF(AX72&gt;AY72,1,0)+IF(AZ72&gt;BA72,1,0)+IF(BB72&gt;BC72,1,0)</f>
        <v>3</v>
      </c>
      <c r="BI72" s="58">
        <f>IF(AY72&gt;AX72,1,0)+IF(BA72&gt;AZ72,1,0)+IF(BC72&gt;BB72,1,0)</f>
        <v>0</v>
      </c>
      <c r="BJ72" s="59">
        <f>IF(BH72+BI72=0,"",IF(BK72=MAX(BK72:BK75),1,IF(BK72=LARGE(BK72:BK75,2),2,IF(BK72=MIN(BK72:BK75),4,3))))</f>
        <v>1</v>
      </c>
      <c r="BK72" s="60">
        <f>IF(BH72+BI72&lt;&gt;0,BH72-BI72+(BF72-BG72)/100+(BD72-BE72)/10000,-3)</f>
        <v>3.0563</v>
      </c>
    </row>
    <row r="73" spans="1:63" ht="11.25" customHeight="1">
      <c r="A73" s="17">
        <f t="shared" si="8"/>
        <v>8</v>
      </c>
      <c r="B73" s="17" t="str">
        <f>IF(N73="","",N73)</f>
        <v>P0019</v>
      </c>
      <c r="C73" s="17">
        <f>IF(N74="","",N74)</f>
      </c>
      <c r="D73" s="17" t="str">
        <f>IF(N79="","",N79)</f>
        <v>K0014</v>
      </c>
      <c r="E73" s="17">
        <f>IF(N80="","",N80)</f>
      </c>
      <c r="J73" s="9"/>
      <c r="K73" s="17"/>
      <c r="L73" s="17"/>
      <c r="M73" s="41" t="str">
        <f>N69</f>
        <v>Runners Up</v>
      </c>
      <c r="N73" s="34" t="s">
        <v>37</v>
      </c>
      <c r="O73" s="35">
        <f>IF(O68&gt;0,(O68&amp;2)*1,"")</f>
        <v>62</v>
      </c>
      <c r="Q73" s="42">
        <f>IF(AT73&gt;0,"",IF(A73=0,"",IF(VLOOKUP(A73,'[1]plan gier'!A:S,19,FALSE)="","",VLOOKUP(A73,'[1]plan gier'!A:S,19,FALSE))))</f>
      </c>
      <c r="R73" s="43" t="s">
        <v>17</v>
      </c>
      <c r="S73" s="44">
        <v>8</v>
      </c>
      <c r="T73" s="261"/>
      <c r="U73" s="263" t="str">
        <f>IF(AND(N73&lt;&gt;"",N74=""),CONCATENATE(VLOOKUP(N73,'[1]zawodnicy'!$A:$E,1,FALSE)," ",VLOOKUP(N73,'[1]zawodnicy'!$A:$E,2,FALSE)," ",VLOOKUP(N73,'[1]zawodnicy'!$A:$E,3,FALSE)," - ",VLOOKUP(N73,'[1]zawodnicy'!$A:$E,4,FALSE)),"")</f>
        <v>P0019 Patryk PIETRAS - Mielec</v>
      </c>
      <c r="V73" s="264"/>
      <c r="W73" s="61" t="str">
        <f>IF(SUM(AP77:AQ77)=0,"",AQ77&amp;":"&amp;AP77)</f>
        <v>12:21</v>
      </c>
      <c r="X73" s="62"/>
      <c r="Y73" s="32" t="str">
        <f>IF(SUM(AP75:AQ75)=0,"",AP75&amp;":"&amp;AQ75)</f>
        <v>8:21</v>
      </c>
      <c r="Z73" s="63" t="str">
        <f>IF(SUM(AP73:AQ73)=0,"",AP73&amp;":"&amp;AQ73)</f>
        <v>14:21</v>
      </c>
      <c r="AA73" s="261"/>
      <c r="AB73" s="265"/>
      <c r="AC73" s="265"/>
      <c r="AD73" s="266"/>
      <c r="AE73" s="11"/>
      <c r="AF73" s="11"/>
      <c r="AG73" s="43" t="s">
        <v>17</v>
      </c>
      <c r="AH73" s="51">
        <f>IF(ISBLANK(S73),"",VLOOKUP(S73,'[1]plan gier'!$X:$AN,12,FALSE))</f>
        <v>5</v>
      </c>
      <c r="AI73" s="52">
        <f>IF(ISBLANK(S73),"",VLOOKUP(S73,'[1]plan gier'!$X:$AN,13,FALSE))</f>
        <v>21</v>
      </c>
      <c r="AJ73" s="52">
        <f>IF(ISBLANK(S73),"",VLOOKUP(S73,'[1]plan gier'!$X:$AN,14,FALSE))</f>
        <v>14</v>
      </c>
      <c r="AK73" s="52">
        <f>IF(ISBLANK(S73),"",VLOOKUP(S73,'[1]plan gier'!$X:$AN,15,FALSE))</f>
        <v>21</v>
      </c>
      <c r="AL73" s="52">
        <f>IF(ISBLANK(S73),"",VLOOKUP(S73,'[1]plan gier'!$X:$AN,16,FALSE))</f>
        <v>0</v>
      </c>
      <c r="AM73" s="52">
        <f>IF(ISBLANK(S73),"",VLOOKUP(S73,'[1]plan gier'!$X:$AN,17,FALSE))</f>
        <v>0</v>
      </c>
      <c r="AN73" s="64">
        <f t="shared" si="9"/>
        <v>5</v>
      </c>
      <c r="AO73" s="65">
        <f t="shared" si="9"/>
        <v>21</v>
      </c>
      <c r="AP73" s="65">
        <f t="shared" si="9"/>
        <v>14</v>
      </c>
      <c r="AQ73" s="65">
        <f t="shared" si="9"/>
        <v>21</v>
      </c>
      <c r="AR73" s="65">
        <f t="shared" si="9"/>
        <v>0</v>
      </c>
      <c r="AS73" s="66">
        <f t="shared" si="9"/>
        <v>0</v>
      </c>
      <c r="AT73" s="54">
        <f t="shared" si="10"/>
        <v>61</v>
      </c>
      <c r="AU73" s="19">
        <v>2</v>
      </c>
      <c r="AV73" s="64">
        <f>IF(AH77&lt;AI77,1,0)+IF(AJ77&lt;AK77,1,0)+IF(AL77&lt;AM77,1,0)</f>
        <v>0</v>
      </c>
      <c r="AW73" s="65">
        <f>AX72</f>
        <v>2</v>
      </c>
      <c r="AX73" s="67"/>
      <c r="AY73" s="68"/>
      <c r="AZ73" s="65">
        <f>IF(AH75&gt;AI75,1,0)+IF(AJ75&gt;AK75,1,0)+IF(AL75&gt;AM75,1,0)</f>
        <v>0</v>
      </c>
      <c r="BA73" s="65">
        <f>AX74</f>
        <v>2</v>
      </c>
      <c r="BB73" s="69">
        <f>IF(AH73&gt;AI73,1,0)+IF(AJ73&gt;AK73,1,0)+IF(AL73&gt;AM73,1,0)</f>
        <v>0</v>
      </c>
      <c r="BC73" s="70">
        <f>AX75</f>
        <v>2</v>
      </c>
      <c r="BD73" s="64">
        <f>AN73+AP73+AR73+AN75+AP75+AR75+AO77+AQ77+AS77</f>
        <v>52</v>
      </c>
      <c r="BE73" s="70">
        <f>AO73+AQ73+AS73+AO75+AQ75+AS75+AN77+AP77+AR77</f>
        <v>126</v>
      </c>
      <c r="BF73" s="64">
        <f>AV73+AZ73+BB73</f>
        <v>0</v>
      </c>
      <c r="BG73" s="66">
        <f>AW73+BA73+BC73</f>
        <v>6</v>
      </c>
      <c r="BH73" s="64">
        <f>IF(AV73&gt;AW73,1,0)+IF(AZ73&gt;BA73,1,0)+IF(BB73&gt;BC73,1,0)</f>
        <v>0</v>
      </c>
      <c r="BI73" s="66">
        <f>IF(AW73&gt;AV73,1,0)+IF(BA73&gt;AZ73,1,0)+IF(BC73&gt;BB73,1,0)</f>
        <v>3</v>
      </c>
      <c r="BJ73" s="71">
        <f>IF(BH73+BI73=0,"",IF(BK73=MAX(BK72:BK75),1,IF(BK73=LARGE(BK72:BK75,2),2,IF(BK73=MIN(BK72:BK75),4,3))))</f>
        <v>4</v>
      </c>
      <c r="BK73" s="60">
        <f>IF(BH73+BI73&lt;&gt;0,BH73-BI73+(BF73-BG73)/100+(BD73-BE73)/10000,-3)</f>
        <v>-3.0674</v>
      </c>
    </row>
    <row r="74" spans="1:63" ht="11.25" customHeight="1">
      <c r="A74" s="17">
        <f t="shared" si="8"/>
        <v>15</v>
      </c>
      <c r="B74" s="17" t="str">
        <f>IF(N70="","",N70)</f>
        <v>B0009</v>
      </c>
      <c r="C74" s="17">
        <f>IF(N71="","",N71)</f>
      </c>
      <c r="D74" s="17" t="str">
        <f>IF(N79="","",N79)</f>
        <v>K0014</v>
      </c>
      <c r="E74" s="17">
        <f>IF(N80="","",N80)</f>
      </c>
      <c r="H74" s="9"/>
      <c r="I74" s="2" t="str">
        <f>"3"&amp;O68&amp;N69</f>
        <v>36Runners Up</v>
      </c>
      <c r="J74" s="9" t="str">
        <f>IF(AD75="","",IF(AD69=3,N70,IF(AD72=3,N73,IF(AD75=3,N76,IF(AD78=3,N79,"")))))</f>
        <v>K0014</v>
      </c>
      <c r="K74" s="9">
        <f>IF(AD75="","",IF(AD69=3,N71,IF(AD72=3,N74,IF(AD75=3,N77,IF(AD78=3,N80,"")))))</f>
        <v>0</v>
      </c>
      <c r="L74" s="9"/>
      <c r="M74" s="41" t="str">
        <f>N69</f>
        <v>Runners Up</v>
      </c>
      <c r="N74" s="37"/>
      <c r="O74" s="36"/>
      <c r="P74" s="36"/>
      <c r="Q74" s="42">
        <f>IF(AT74&gt;0,"",IF(A74=0,"",IF(VLOOKUP(A74,'[1]plan gier'!A:S,19,FALSE)="","",VLOOKUP(A74,'[1]plan gier'!A:S,19,FALSE))))</f>
      </c>
      <c r="R74" s="43" t="s">
        <v>18</v>
      </c>
      <c r="S74" s="44">
        <v>15</v>
      </c>
      <c r="T74" s="262"/>
      <c r="U74" s="267">
        <f>IF(N74&lt;&gt;"",CONCATENATE(VLOOKUP(N74,'[1]zawodnicy'!$A:$E,1,FALSE)," ",VLOOKUP(N74,'[1]zawodnicy'!$A:$E,2,FALSE)," ",VLOOKUP(N74,'[1]zawodnicy'!$A:$E,3,FALSE)," - ",VLOOKUP(N74,'[1]zawodnicy'!$A:$E,4,FALSE)),"")</f>
      </c>
      <c r="V74" s="268"/>
      <c r="W74" s="72">
        <f>IF(SUM(AR77:AS77)=0,"",AS77&amp;":"&amp;AR77)</f>
      </c>
      <c r="X74" s="62"/>
      <c r="Y74" s="38">
        <f>IF(SUM(AR75:AS75)=0,"",AR75&amp;":"&amp;AS75)</f>
      </c>
      <c r="Z74" s="73">
        <f>IF(SUM(AR73:AS73)=0,"",AR73&amp;":"&amp;AS73)</f>
      </c>
      <c r="AA74" s="261"/>
      <c r="AB74" s="265"/>
      <c r="AC74" s="265"/>
      <c r="AD74" s="266"/>
      <c r="AE74" s="11"/>
      <c r="AF74" s="11"/>
      <c r="AG74" s="43" t="s">
        <v>18</v>
      </c>
      <c r="AH74" s="51">
        <f>IF(ISBLANK(S74),"",VLOOKUP(S74,'[1]plan gier'!$X:$AN,12,FALSE))</f>
        <v>18</v>
      </c>
      <c r="AI74" s="52">
        <f>IF(ISBLANK(S74),"",VLOOKUP(S74,'[1]plan gier'!$X:$AN,13,FALSE))</f>
        <v>21</v>
      </c>
      <c r="AJ74" s="52">
        <f>IF(ISBLANK(S74),"",VLOOKUP(S74,'[1]plan gier'!$X:$AN,14,FALSE))</f>
        <v>21</v>
      </c>
      <c r="AK74" s="52">
        <f>IF(ISBLANK(S74),"",VLOOKUP(S74,'[1]plan gier'!$X:$AN,15,FALSE))</f>
        <v>12</v>
      </c>
      <c r="AL74" s="52">
        <f>IF(ISBLANK(S74),"",VLOOKUP(S74,'[1]plan gier'!$X:$AN,16,FALSE))</f>
        <v>21</v>
      </c>
      <c r="AM74" s="52">
        <f>IF(ISBLANK(S74),"",VLOOKUP(S74,'[1]plan gier'!$X:$AN,17,FALSE))</f>
        <v>9</v>
      </c>
      <c r="AN74" s="64">
        <f t="shared" si="9"/>
        <v>18</v>
      </c>
      <c r="AO74" s="65">
        <f t="shared" si="9"/>
        <v>21</v>
      </c>
      <c r="AP74" s="65">
        <f t="shared" si="9"/>
        <v>21</v>
      </c>
      <c r="AQ74" s="65">
        <f t="shared" si="9"/>
        <v>12</v>
      </c>
      <c r="AR74" s="65">
        <f t="shared" si="9"/>
        <v>21</v>
      </c>
      <c r="AS74" s="66">
        <f t="shared" si="9"/>
        <v>9</v>
      </c>
      <c r="AT74" s="54">
        <f t="shared" si="10"/>
        <v>102</v>
      </c>
      <c r="AU74" s="19">
        <v>3</v>
      </c>
      <c r="AV74" s="64">
        <f>IF(AH72&lt;AI72,1,0)+IF(AJ72&lt;AK72,1,0)+IF(AL72&lt;AM72,1,0)</f>
        <v>0</v>
      </c>
      <c r="AW74" s="65">
        <f>AZ72</f>
        <v>2</v>
      </c>
      <c r="AX74" s="65">
        <f>IF(AH75&lt;AI75,1,0)+IF(AJ75&lt;AK75,1,0)+IF(AL75&lt;AM75,1,0)</f>
        <v>2</v>
      </c>
      <c r="AY74" s="65">
        <f>AZ73</f>
        <v>0</v>
      </c>
      <c r="AZ74" s="67"/>
      <c r="BA74" s="68"/>
      <c r="BB74" s="65">
        <f>IF(AH76&gt;AI76,1,0)+IF(AJ76&gt;AK76,1,0)+IF(AL76&gt;AM76,1,0)</f>
        <v>2</v>
      </c>
      <c r="BC74" s="70">
        <f>AZ75</f>
        <v>0</v>
      </c>
      <c r="BD74" s="74">
        <f>AO72+AQ72+AS72+AO75+AQ75+AS75+AN76+AP76+AR76</f>
        <v>113</v>
      </c>
      <c r="BE74" s="75">
        <f>AN72+AP72+AR72+AN75+AP75+AR75+AO76+AQ76+AS76</f>
        <v>100</v>
      </c>
      <c r="BF74" s="74">
        <f>AV74+AX74+BB74</f>
        <v>4</v>
      </c>
      <c r="BG74" s="76">
        <f>AW74+AY74+BC74</f>
        <v>2</v>
      </c>
      <c r="BH74" s="64">
        <f>IF(AV74&gt;AW74,1,0)+IF(AX74&gt;AY74,1,0)+IF(BB74&gt;BC74,1,0)</f>
        <v>2</v>
      </c>
      <c r="BI74" s="66">
        <f>IF(AW74&gt;AV74,1,0)+IF(AY74&gt;AX74,1,0)+IF(BC74&gt;BB74,1,0)</f>
        <v>1</v>
      </c>
      <c r="BJ74" s="71">
        <f>IF(BH74+BI74=0,"",IF(BK74=MAX(BK72:BK75),1,IF(BK74=LARGE(BK72:BK75,2),2,IF(BK74=MIN(BK72:BK75),4,3))))</f>
        <v>2</v>
      </c>
      <c r="BK74" s="60">
        <f>IF(BH74+BI74&lt;&gt;0,BH74-BI74+(BF74-BG74)/100+(BD74-BE74)/10000,-3)</f>
        <v>1.0213</v>
      </c>
    </row>
    <row r="75" spans="1:63" ht="11.25" customHeight="1" thickBot="1">
      <c r="A75" s="17">
        <f t="shared" si="8"/>
        <v>16</v>
      </c>
      <c r="B75" s="17" t="str">
        <f>IF(N73="","",N73)</f>
        <v>P0019</v>
      </c>
      <c r="C75" s="17">
        <f>IF(N74="","",N74)</f>
      </c>
      <c r="D75" s="17" t="str">
        <f>IF(N76="","",N76)</f>
        <v>M0019</v>
      </c>
      <c r="E75" s="17">
        <f>IF(N77="","",N77)</f>
      </c>
      <c r="J75" s="9"/>
      <c r="K75" s="36"/>
      <c r="L75" s="36"/>
      <c r="M75" s="41" t="str">
        <f>N69</f>
        <v>Runners Up</v>
      </c>
      <c r="O75" s="36"/>
      <c r="P75" s="36"/>
      <c r="Q75" s="42">
        <f>IF(AT75&gt;0,"",IF(A75=0,"",IF(VLOOKUP(A75,'[1]plan gier'!A:S,19,FALSE)="","",VLOOKUP(A75,'[1]plan gier'!A:S,19,FALSE))))</f>
      </c>
      <c r="R75" s="43" t="s">
        <v>19</v>
      </c>
      <c r="S75" s="44">
        <v>16</v>
      </c>
      <c r="T75" s="269">
        <v>3</v>
      </c>
      <c r="U75" s="270">
        <f>IF(AND(N76&lt;&gt;"",N77&lt;&gt;""),CONCATENATE(VLOOKUP(N76,'[1]zawodnicy'!$A:$E,1,FALSE)," ",VLOOKUP(N76,'[1]zawodnicy'!$A:$E,2,FALSE)," ",VLOOKUP(N76,'[1]zawodnicy'!$A:$E,3,FALSE)," - ",VLOOKUP(N76,'[1]zawodnicy'!$A:$E,4,FALSE)),"")</f>
      </c>
      <c r="V75" s="271"/>
      <c r="W75" s="45" t="str">
        <f>IF(SUM(AN72:AO72)=0,"",AO72&amp;":"&amp;AN72)</f>
        <v>14:21</v>
      </c>
      <c r="X75" s="47" t="str">
        <f>IF(SUM(AN75:AO75)=0,"",AO75&amp;":"&amp;AN75)</f>
        <v>21:11</v>
      </c>
      <c r="Y75" s="77"/>
      <c r="Z75" s="48" t="str">
        <f>IF(SUM(AN76:AO76)=0,"",AN76&amp;":"&amp;AO76)</f>
        <v>25:23</v>
      </c>
      <c r="AA75" s="269" t="str">
        <f>IF(SUM(AV74:AY74,BB74:BC74)=0,"",BD74&amp;":"&amp;BE74)</f>
        <v>113:100</v>
      </c>
      <c r="AB75" s="272" t="str">
        <f>IF(SUM(AV74:AY74,BB74:BC74)=0,"",BF74&amp;":"&amp;BG74)</f>
        <v>4:2</v>
      </c>
      <c r="AC75" s="272" t="str">
        <f>IF(SUM(AV74:AY74,BB74:BC74)=0,"",BH74&amp;":"&amp;BI74)</f>
        <v>2:1</v>
      </c>
      <c r="AD75" s="275">
        <f>IF(SUM(BH72:BH75)&gt;0,BJ74,"")</f>
        <v>2</v>
      </c>
      <c r="AE75" s="11"/>
      <c r="AF75" s="11"/>
      <c r="AG75" s="43" t="s">
        <v>19</v>
      </c>
      <c r="AH75" s="51">
        <f>IF(ISBLANK(S75),"",VLOOKUP(S75,'[1]plan gier'!$X:$AN,12,FALSE))</f>
        <v>11</v>
      </c>
      <c r="AI75" s="52">
        <f>IF(ISBLANK(S75),"",VLOOKUP(S75,'[1]plan gier'!$X:$AN,13,FALSE))</f>
        <v>21</v>
      </c>
      <c r="AJ75" s="52">
        <f>IF(ISBLANK(S75),"",VLOOKUP(S75,'[1]plan gier'!$X:$AN,14,FALSE))</f>
        <v>8</v>
      </c>
      <c r="AK75" s="52">
        <f>IF(ISBLANK(S75),"",VLOOKUP(S75,'[1]plan gier'!$X:$AN,15,FALSE))</f>
        <v>21</v>
      </c>
      <c r="AL75" s="52">
        <f>IF(ISBLANK(S75),"",VLOOKUP(S75,'[1]plan gier'!$X:$AN,16,FALSE))</f>
        <v>0</v>
      </c>
      <c r="AM75" s="52">
        <f>IF(ISBLANK(S75),"",VLOOKUP(S75,'[1]plan gier'!$X:$AN,17,FALSE))</f>
        <v>0</v>
      </c>
      <c r="AN75" s="64">
        <f t="shared" si="9"/>
        <v>11</v>
      </c>
      <c r="AO75" s="65">
        <f t="shared" si="9"/>
        <v>21</v>
      </c>
      <c r="AP75" s="65">
        <f t="shared" si="9"/>
        <v>8</v>
      </c>
      <c r="AQ75" s="65">
        <f t="shared" si="9"/>
        <v>21</v>
      </c>
      <c r="AR75" s="65">
        <f t="shared" si="9"/>
        <v>0</v>
      </c>
      <c r="AS75" s="66">
        <f t="shared" si="9"/>
        <v>0</v>
      </c>
      <c r="AT75" s="54">
        <f t="shared" si="10"/>
        <v>61</v>
      </c>
      <c r="AU75" s="19">
        <v>4</v>
      </c>
      <c r="AV75" s="78">
        <f>IF(AH74&lt;AI74,1,0)+IF(AJ74&lt;AK74,1,0)+IF(AL74&lt;AM74,1,0)</f>
        <v>1</v>
      </c>
      <c r="AW75" s="79">
        <f>BB72</f>
        <v>2</v>
      </c>
      <c r="AX75" s="79">
        <f>IF(AH73&lt;AI73,1,0)+IF(AJ73&lt;AK73,1,0)+IF(AL73&lt;AM73,1,0)</f>
        <v>2</v>
      </c>
      <c r="AY75" s="79">
        <f>BB73</f>
        <v>0</v>
      </c>
      <c r="AZ75" s="80">
        <f>IF(AH76&lt;AI76,1,0)+IF(AJ76&lt;AK76,1,0)+IF(AL76&lt;AM76,1,0)</f>
        <v>0</v>
      </c>
      <c r="BA75" s="80">
        <f>BB74</f>
        <v>2</v>
      </c>
      <c r="BB75" s="81"/>
      <c r="BC75" s="82"/>
      <c r="BD75" s="83">
        <f>AO73+AQ73+AS73+AO74+AQ74+AS74+AO76+AQ76+AS76</f>
        <v>123</v>
      </c>
      <c r="BE75" s="84">
        <f>AN73+AP73+AR73+AN74+AP74+AR74+AN76+AP76+AR76</f>
        <v>125</v>
      </c>
      <c r="BF75" s="83">
        <f>AV75+AX75+AZ75</f>
        <v>3</v>
      </c>
      <c r="BG75" s="85">
        <f>AW75+AY75+BA75</f>
        <v>4</v>
      </c>
      <c r="BH75" s="83">
        <f>IF(AV75&gt;AW75,1,0)+IF(AX75&gt;AY75,1,0)+IF(AZ75&gt;BA75,1,0)</f>
        <v>1</v>
      </c>
      <c r="BI75" s="85">
        <f>IF(AW75&gt;AV75,1,0)+IF(AY75&gt;AX75,1,0)+IF(BA75&gt;AZ75,1,0)</f>
        <v>2</v>
      </c>
      <c r="BJ75" s="86">
        <f>IF(BH75+BI75=0,"",IF(BK75=MAX(BK72:BK75),1,IF(BK75=LARGE(BK72:BK75,2),2,IF(BK75=MIN(BK72:BK75),4,3))))</f>
        <v>3</v>
      </c>
      <c r="BK75" s="60">
        <f>IF(BH75+BI75&lt;&gt;0,BH75-BI75+(BF75-BG75)/100+(BD75-BE75)/10000,-3)</f>
        <v>-1.0102</v>
      </c>
    </row>
    <row r="76" spans="1:63" ht="11.25" customHeight="1">
      <c r="A76" s="17">
        <f t="shared" si="8"/>
        <v>23</v>
      </c>
      <c r="B76" s="17" t="str">
        <f>IF(N76="","",N76)</f>
        <v>M0019</v>
      </c>
      <c r="C76" s="17">
        <f>IF(N77="","",N77)</f>
      </c>
      <c r="D76" s="17" t="str">
        <f>IF(N79="","",N79)</f>
        <v>K0014</v>
      </c>
      <c r="E76" s="17">
        <f>IF(N80="","",N80)</f>
      </c>
      <c r="H76" s="9"/>
      <c r="I76" s="2" t="str">
        <f>"4"&amp;O68&amp;N69</f>
        <v>46Runners Up</v>
      </c>
      <c r="J76" s="9" t="str">
        <f>IF(AD78="","",IF(AD69=4,N70,IF(AD72=4,N73,IF(AD75=4,N76,IF(AD78=4,N79,"")))))</f>
        <v>P0019</v>
      </c>
      <c r="K76" s="9">
        <f>IF(AD78="","",IF(AD69=4,N71,IF(AD72=4,N74,IF(AD75=4,N77,IF(AD78=4,N80,"")))))</f>
        <v>0</v>
      </c>
      <c r="L76" s="9"/>
      <c r="M76" s="41" t="str">
        <f>N69</f>
        <v>Runners Up</v>
      </c>
      <c r="N76" s="34" t="s">
        <v>38</v>
      </c>
      <c r="O76" s="35">
        <f>IF(O68&gt;0,(O68&amp;3)*1,"")</f>
        <v>63</v>
      </c>
      <c r="Q76" s="42">
        <f>IF(AT76&gt;0,"",IF(A76=0,"",IF(VLOOKUP(A76,'[1]plan gier'!A:S,19,FALSE)="","",VLOOKUP(A76,'[1]plan gier'!A:S,19,FALSE))))</f>
      </c>
      <c r="R76" s="43" t="s">
        <v>21</v>
      </c>
      <c r="S76" s="44">
        <v>23</v>
      </c>
      <c r="T76" s="261"/>
      <c r="U76" s="263" t="str">
        <f>IF(AND(N76&lt;&gt;"",N77=""),CONCATENATE(VLOOKUP(N76,'[1]zawodnicy'!$A:$E,1,FALSE)," ",VLOOKUP(N76,'[1]zawodnicy'!$A:$E,2,FALSE)," ",VLOOKUP(N76,'[1]zawodnicy'!$A:$E,3,FALSE)," - ",VLOOKUP(N76,'[1]zawodnicy'!$A:$E,4,FALSE)),"")</f>
        <v>M0019 Grzegorz MAC  - Rzeszów</v>
      </c>
      <c r="V76" s="264"/>
      <c r="W76" s="61" t="str">
        <f>IF(SUM(AP72:AQ72)=0,"",AQ72&amp;":"&amp;AP72)</f>
        <v>11:21</v>
      </c>
      <c r="X76" s="32" t="str">
        <f>IF(SUM(AP75:AQ75)=0,"",AQ75&amp;":"&amp;AP75)</f>
        <v>21:8</v>
      </c>
      <c r="Y76" s="87"/>
      <c r="Z76" s="63" t="str">
        <f>IF(SUM(AP76:AQ76)=0,"",AP76&amp;":"&amp;AQ76)</f>
        <v>21:16</v>
      </c>
      <c r="AA76" s="261"/>
      <c r="AB76" s="265"/>
      <c r="AC76" s="265"/>
      <c r="AD76" s="266"/>
      <c r="AE76" s="11"/>
      <c r="AF76" s="11"/>
      <c r="AG76" s="43" t="s">
        <v>21</v>
      </c>
      <c r="AH76" s="51">
        <f>IF(ISBLANK(S76),"",VLOOKUP(S76,'[1]plan gier'!$X:$AN,12,FALSE))</f>
        <v>25</v>
      </c>
      <c r="AI76" s="52">
        <f>IF(ISBLANK(S76),"",VLOOKUP(S76,'[1]plan gier'!$X:$AN,13,FALSE))</f>
        <v>23</v>
      </c>
      <c r="AJ76" s="52">
        <f>IF(ISBLANK(S76),"",VLOOKUP(S76,'[1]plan gier'!$X:$AN,14,FALSE))</f>
        <v>21</v>
      </c>
      <c r="AK76" s="52">
        <f>IF(ISBLANK(S76),"",VLOOKUP(S76,'[1]plan gier'!$X:$AN,15,FALSE))</f>
        <v>16</v>
      </c>
      <c r="AL76" s="52">
        <f>IF(ISBLANK(S76),"",VLOOKUP(S76,'[1]plan gier'!$X:$AN,16,FALSE))</f>
        <v>0</v>
      </c>
      <c r="AM76" s="52">
        <f>IF(ISBLANK(S76),"",VLOOKUP(S76,'[1]plan gier'!$X:$AN,17,FALSE))</f>
        <v>0</v>
      </c>
      <c r="AN76" s="64">
        <f t="shared" si="9"/>
        <v>25</v>
      </c>
      <c r="AO76" s="65">
        <f t="shared" si="9"/>
        <v>23</v>
      </c>
      <c r="AP76" s="65">
        <f t="shared" si="9"/>
        <v>21</v>
      </c>
      <c r="AQ76" s="65">
        <f t="shared" si="9"/>
        <v>16</v>
      </c>
      <c r="AR76" s="65">
        <f t="shared" si="9"/>
        <v>0</v>
      </c>
      <c r="AS76" s="66">
        <f t="shared" si="9"/>
        <v>0</v>
      </c>
      <c r="AT76" s="54">
        <f t="shared" si="10"/>
        <v>85</v>
      </c>
      <c r="BD76" s="17">
        <f aca="true" t="shared" si="11" ref="BD76:BI76">SUM(BD72:BD75)</f>
        <v>432</v>
      </c>
      <c r="BE76" s="17">
        <f t="shared" si="11"/>
        <v>432</v>
      </c>
      <c r="BF76" s="17">
        <f t="shared" si="11"/>
        <v>13</v>
      </c>
      <c r="BG76" s="17">
        <f t="shared" si="11"/>
        <v>13</v>
      </c>
      <c r="BH76" s="17">
        <f t="shared" si="11"/>
        <v>6</v>
      </c>
      <c r="BI76" s="17">
        <f t="shared" si="11"/>
        <v>6</v>
      </c>
      <c r="BK76" s="18">
        <f>SUM(BK72:BK75)</f>
        <v>0</v>
      </c>
    </row>
    <row r="77" spans="1:46" ht="11.25" customHeight="1" thickBot="1">
      <c r="A77" s="17">
        <f t="shared" si="8"/>
        <v>24</v>
      </c>
      <c r="B77" s="17" t="str">
        <f>IF(N70="","",N70)</f>
        <v>B0009</v>
      </c>
      <c r="C77" s="17">
        <f>IF(N71="","",N71)</f>
      </c>
      <c r="D77" s="17" t="str">
        <f>IF(N73="","",N73)</f>
        <v>P0019</v>
      </c>
      <c r="E77" s="17">
        <f>IF(N74="","",N74)</f>
      </c>
      <c r="J77" s="36"/>
      <c r="K77" s="36"/>
      <c r="L77" s="36"/>
      <c r="M77" s="41" t="str">
        <f>N69</f>
        <v>Runners Up</v>
      </c>
      <c r="N77" s="37"/>
      <c r="O77" s="36"/>
      <c r="P77" s="36"/>
      <c r="Q77" s="42">
        <f>IF(AT77&gt;0,"",IF(A77=0,"",IF(VLOOKUP(A77,'[1]plan gier'!A:S,19,FALSE)="","",VLOOKUP(A77,'[1]plan gier'!A:S,19,FALSE))))</f>
      </c>
      <c r="R77" s="43" t="s">
        <v>22</v>
      </c>
      <c r="S77" s="44">
        <v>24</v>
      </c>
      <c r="T77" s="262"/>
      <c r="U77" s="267">
        <f>IF(N77&lt;&gt;"",CONCATENATE(VLOOKUP(N77,'[1]zawodnicy'!$A:$E,1,FALSE)," ",VLOOKUP(N77,'[1]zawodnicy'!$A:$E,2,FALSE)," ",VLOOKUP(N77,'[1]zawodnicy'!$A:$E,3,FALSE)," - ",VLOOKUP(N77,'[1]zawodnicy'!$A:$E,4,FALSE)),"")</f>
      </c>
      <c r="V77" s="268"/>
      <c r="W77" s="72">
        <f>IF(SUM(AR72:AS72)=0,"",AS72&amp;":"&amp;AR72)</f>
      </c>
      <c r="X77" s="38">
        <f>IF(SUM(AR75:AS75)=0,"",AS75&amp;":"&amp;AR75)</f>
      </c>
      <c r="Y77" s="87"/>
      <c r="Z77" s="73">
        <f>IF(SUM(AR76:AS76)=0,"",AR76&amp;":"&amp;AS76)</f>
      </c>
      <c r="AA77" s="261"/>
      <c r="AB77" s="265"/>
      <c r="AC77" s="265"/>
      <c r="AD77" s="266"/>
      <c r="AE77" s="11"/>
      <c r="AF77" s="11"/>
      <c r="AG77" s="43" t="s">
        <v>22</v>
      </c>
      <c r="AH77" s="78">
        <f>IF(ISBLANK(S77),"",VLOOKUP(S77,'[1]plan gier'!$X:$AN,12,FALSE))</f>
        <v>21</v>
      </c>
      <c r="AI77" s="79">
        <f>IF(ISBLANK(S77),"",VLOOKUP(S77,'[1]plan gier'!$X:$AN,13,FALSE))</f>
        <v>2</v>
      </c>
      <c r="AJ77" s="79">
        <f>IF(ISBLANK(S77),"",VLOOKUP(S77,'[1]plan gier'!$X:$AN,14,FALSE))</f>
        <v>21</v>
      </c>
      <c r="AK77" s="79">
        <f>IF(ISBLANK(S77),"",VLOOKUP(S77,'[1]plan gier'!$X:$AN,15,FALSE))</f>
        <v>12</v>
      </c>
      <c r="AL77" s="79">
        <f>IF(ISBLANK(S77),"",VLOOKUP(S77,'[1]plan gier'!$X:$AN,16,FALSE))</f>
        <v>0</v>
      </c>
      <c r="AM77" s="79">
        <f>IF(ISBLANK(S77),"",VLOOKUP(S77,'[1]plan gier'!$X:$AN,17,FALSE))</f>
        <v>0</v>
      </c>
      <c r="AN77" s="83">
        <f t="shared" si="9"/>
        <v>21</v>
      </c>
      <c r="AO77" s="80">
        <f t="shared" si="9"/>
        <v>2</v>
      </c>
      <c r="AP77" s="80">
        <f t="shared" si="9"/>
        <v>21</v>
      </c>
      <c r="AQ77" s="80">
        <f t="shared" si="9"/>
        <v>12</v>
      </c>
      <c r="AR77" s="80">
        <f t="shared" si="9"/>
        <v>0</v>
      </c>
      <c r="AS77" s="85">
        <f t="shared" si="9"/>
        <v>0</v>
      </c>
      <c r="AT77" s="54">
        <f t="shared" si="10"/>
        <v>56</v>
      </c>
    </row>
    <row r="78" spans="1:46" ht="11.25" customHeight="1">
      <c r="A78" s="2"/>
      <c r="J78" s="36"/>
      <c r="K78" s="36"/>
      <c r="L78" s="36"/>
      <c r="O78" s="36"/>
      <c r="P78" s="36"/>
      <c r="Q78" s="2"/>
      <c r="R78" s="2"/>
      <c r="S78" s="2"/>
      <c r="T78" s="269">
        <v>4</v>
      </c>
      <c r="U78" s="270">
        <f>IF(AND(N79&lt;&gt;"",N80&lt;&gt;""),CONCATENATE(VLOOKUP(N79,'[1]zawodnicy'!$A:$E,1,FALSE)," ",VLOOKUP(N79,'[1]zawodnicy'!$A:$E,2,FALSE)," ",VLOOKUP(N79,'[1]zawodnicy'!$A:$E,3,FALSE)," - ",VLOOKUP(N79,'[1]zawodnicy'!$A:$E,4,FALSE)),"")</f>
      </c>
      <c r="V78" s="271"/>
      <c r="W78" s="45" t="str">
        <f>IF(SUM(AN74:AO74)=0,"",AO74&amp;":"&amp;AN74)</f>
        <v>21:18</v>
      </c>
      <c r="X78" s="47" t="str">
        <f>IF(SUM(AN73:AO73)=0,"",AO73&amp;":"&amp;AN73)</f>
        <v>21:5</v>
      </c>
      <c r="Y78" s="47" t="str">
        <f>IF(SUM(AN76:AO76)=0,"",AO76&amp;":"&amp;AN76)</f>
        <v>23:25</v>
      </c>
      <c r="Z78" s="88"/>
      <c r="AA78" s="269" t="str">
        <f>IF(SUM(AV75:BA75)=0,"",BD75&amp;":"&amp;BE75)</f>
        <v>123:125</v>
      </c>
      <c r="AB78" s="272" t="str">
        <f>IF(SUM(AV75:BA75)=0,"",BF75&amp;":"&amp;BG75)</f>
        <v>3:4</v>
      </c>
      <c r="AC78" s="272" t="str">
        <f>IF(SUM(AV75:BA75)=0,"",BH75&amp;":"&amp;BI75)</f>
        <v>1:2</v>
      </c>
      <c r="AD78" s="275">
        <f>IF(SUM(BH72:BH75)&gt;0,BJ75,"")</f>
        <v>3</v>
      </c>
      <c r="AE78" s="11"/>
      <c r="AF78" s="11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63" ht="11.25" customHeight="1">
      <c r="A79" s="17"/>
      <c r="B79" s="17"/>
      <c r="C79" s="17"/>
      <c r="D79" s="17"/>
      <c r="E79" s="17"/>
      <c r="H79" s="9"/>
      <c r="J79" s="17"/>
      <c r="K79" s="17"/>
      <c r="L79" s="17"/>
      <c r="N79" s="34" t="s">
        <v>39</v>
      </c>
      <c r="O79" s="35">
        <f>IF(O68&gt;0,(O68&amp;4)*1,"")</f>
        <v>64</v>
      </c>
      <c r="Q79" s="89"/>
      <c r="R79" s="89"/>
      <c r="S79" s="90"/>
      <c r="T79" s="261"/>
      <c r="U79" s="263" t="str">
        <f>IF(AND(N79&lt;&gt;"",N80=""),CONCATENATE(VLOOKUP(N79,'[1]zawodnicy'!$A:$E,1,FALSE)," ",VLOOKUP(N79,'[1]zawodnicy'!$A:$E,2,FALSE)," ",VLOOKUP(N79,'[1]zawodnicy'!$A:$E,3,FALSE)," - ",VLOOKUP(N79,'[1]zawodnicy'!$A:$E,4,FALSE)),"")</f>
        <v>K0014 Zdzisław KULA  - Tarnów</v>
      </c>
      <c r="V79" s="264"/>
      <c r="W79" s="61" t="str">
        <f>IF(SUM(AP74:AQ74)=0,"",AQ74&amp;":"&amp;AP74)</f>
        <v>12:21</v>
      </c>
      <c r="X79" s="32" t="str">
        <f>IF(SUM(AP73:AQ73)=0,"",AQ73&amp;":"&amp;AP73)</f>
        <v>21:14</v>
      </c>
      <c r="Y79" s="32" t="str">
        <f>IF(SUM(AP76:AQ76)=0,"",AQ76&amp;":"&amp;AP76)</f>
        <v>16:21</v>
      </c>
      <c r="Z79" s="91"/>
      <c r="AA79" s="261"/>
      <c r="AB79" s="265"/>
      <c r="AC79" s="265"/>
      <c r="AD79" s="266"/>
      <c r="AE79" s="11"/>
      <c r="AF79" s="11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1:63" ht="11.25" customHeight="1" thickBot="1">
      <c r="A80" s="2"/>
      <c r="J80" s="36"/>
      <c r="K80" s="36"/>
      <c r="L80" s="36"/>
      <c r="N80" s="37"/>
      <c r="O80" s="36"/>
      <c r="P80" s="36"/>
      <c r="Q80" s="2"/>
      <c r="R80" s="2"/>
      <c r="S80" s="2"/>
      <c r="T80" s="286"/>
      <c r="U80" s="296">
        <f>IF(N80&lt;&gt;"",CONCATENATE(VLOOKUP(N80,'[1]zawodnicy'!$A:$E,1,FALSE)," ",VLOOKUP(N80,'[1]zawodnicy'!$A:$E,2,FALSE)," ",VLOOKUP(N80,'[1]zawodnicy'!$A:$E,3,FALSE)," - ",VLOOKUP(N80,'[1]zawodnicy'!$A:$E,4,FALSE)),"")</f>
      </c>
      <c r="V80" s="297"/>
      <c r="W80" s="92" t="str">
        <f>IF(SUM(AR74:AS74)=0,"",AS74&amp;":"&amp;AR74)</f>
        <v>9:21</v>
      </c>
      <c r="X80" s="93">
        <f>IF(SUM(AR73:AS73)=0,"",AS73&amp;":"&amp;AR73)</f>
      </c>
      <c r="Y80" s="93">
        <f>IF(SUM(AR76:AS76)=0,"",AS76&amp;":"&amp;AR76)</f>
      </c>
      <c r="Z80" s="94"/>
      <c r="AA80" s="286"/>
      <c r="AB80" s="287"/>
      <c r="AC80" s="287"/>
      <c r="AD80" s="288"/>
      <c r="AE80" s="11"/>
      <c r="AF80" s="11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ht="11.25" customHeight="1"/>
    <row r="82" ht="11.25" customHeight="1">
      <c r="U82" s="19" t="s">
        <v>40</v>
      </c>
    </row>
    <row r="83" spans="10:32" ht="11.25" customHeight="1">
      <c r="J83" s="2"/>
      <c r="N83" s="118" t="s">
        <v>0</v>
      </c>
      <c r="P83" s="119"/>
      <c r="Q83" s="1"/>
      <c r="R83" s="1"/>
      <c r="S83" s="1"/>
      <c r="T83" s="120"/>
      <c r="U83" s="121"/>
      <c r="V83" s="121"/>
      <c r="W83" s="121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1.25" customHeight="1">
      <c r="A84" s="122">
        <f>V84</f>
        <v>0</v>
      </c>
      <c r="B84" s="2" t="str">
        <f>IF(TYPE(S84)=16,"",S84)</f>
        <v>P0003</v>
      </c>
      <c r="F84" s="2" t="str">
        <f>IF(A84=0,IF(AND(LEN(B84)&gt;0,LEN(D84)=0),VLOOKUP(B84,'[1]zawodnicy'!$A:$E,1,FALSE),IF(AND(LEN(D84)&gt;0,LEN(B84)=0),VLOOKUP(D84,'[1]zawodnicy'!$A:$E,1,FALSE),"")),IF((VLOOKUP(A84,'[1]plan gier'!$X:$AF,7,FALSE))="","",VLOOKUP(VLOOKUP(A84,'[1]plan gier'!$X:$AF,7,FALSE),'[1]zawodnicy'!$A:$E,1,FALSE)))</f>
        <v>P0003</v>
      </c>
      <c r="H84" s="2">
        <f>IF(A84=0,"",IF((VLOOKUP(A84,'[1]plan gier'!$X:$AF,7,FALSE))="","",VLOOKUP(A84,'[1]plan gier'!$X:$AF,9,FALSE)))</f>
      </c>
      <c r="J84" s="123"/>
      <c r="L84" s="42">
        <f>IF(A84=0,"",IF(VLOOKUP(A84,'[1]plan gier'!A:S,19,FALSE)="","",VLOOKUP(A84,'[1]plan gier'!A:S,19,FALSE)))</f>
      </c>
      <c r="M84" s="2" t="str">
        <f>N83</f>
        <v>Runners Up</v>
      </c>
      <c r="N84" s="124"/>
      <c r="O84" s="125"/>
      <c r="P84" s="124"/>
      <c r="Q84" s="300" t="s">
        <v>41</v>
      </c>
      <c r="R84" s="301"/>
      <c r="S84" s="302" t="str">
        <f>UPPER(IF((N83=""),"",IF(TYPE(VLOOKUP(1&amp;1&amp;N83,I:J,2,FALSE))=2,VLOOKUP(1&amp;1&amp;N83,I:J,2,FALSE),"")))</f>
        <v>P0003</v>
      </c>
      <c r="T84" s="303"/>
      <c r="U84" s="303" t="str">
        <f>IF(S84&lt;&gt;"",CONCATENATE(VLOOKUP(S84,'[1]zawodnicy'!$A:$E,2,FALSE)," ",VLOOKUP(S84,'[1]zawodnicy'!$A:$E,3,FALSE)," - ",VLOOKUP(S84,'[1]zawodnicy'!$A:$E,4,FALSE)),"")</f>
        <v>Łukasz PIENIĄŻEK - Rzeszów</v>
      </c>
      <c r="V84" s="306"/>
      <c r="W84" s="308" t="str">
        <f>IF(LEN(S84)&gt;0,VLOOKUP(S84,'[1]zawodnicy'!$A:$E,3,FALSE),"")</f>
        <v>PIENIĄŻEK</v>
      </c>
      <c r="X84" s="309"/>
      <c r="Y84" s="309"/>
      <c r="Z84" s="2"/>
      <c r="AA84" s="2"/>
      <c r="AB84" s="2"/>
      <c r="AC84" s="2"/>
      <c r="AD84" s="2"/>
      <c r="AE84" s="2"/>
      <c r="AF84" s="2"/>
    </row>
    <row r="85" spans="10:32" ht="11.25" customHeight="1">
      <c r="J85" s="123"/>
      <c r="N85" s="124"/>
      <c r="O85" s="125"/>
      <c r="P85" s="124"/>
      <c r="Q85" s="300"/>
      <c r="R85" s="301"/>
      <c r="S85" s="304"/>
      <c r="T85" s="305"/>
      <c r="U85" s="305"/>
      <c r="V85" s="307"/>
      <c r="W85" s="310"/>
      <c r="X85" s="311"/>
      <c r="Y85" s="312"/>
      <c r="Z85" s="2"/>
      <c r="AA85" s="2"/>
      <c r="AB85" s="2"/>
      <c r="AC85" s="2"/>
      <c r="AD85" s="2"/>
      <c r="AE85" s="2"/>
      <c r="AF85" s="2"/>
    </row>
    <row r="86" spans="1:32" ht="11.25" customHeight="1">
      <c r="A86" s="126">
        <f>Y86</f>
        <v>29</v>
      </c>
      <c r="B86" s="2" t="str">
        <f>F84</f>
        <v>P0003</v>
      </c>
      <c r="D86" s="2" t="str">
        <f>F88</f>
        <v>B0006</v>
      </c>
      <c r="F86" s="2" t="str">
        <f>IF(A86=0,IF(AND(LEN(B86)&gt;0,LEN(D86)=0),B86,IF(AND(LEN(D86)&gt;0,LEN(B86)=0),D86,"")),IF((VLOOKUP(A86,'[1]plan gier'!$X:$AF,7,FALSE))="","",VLOOKUP(VLOOKUP(A86,'[1]plan gier'!$X:$AF,7,FALSE),'[1]zawodnicy'!$A:$E,1,FALSE)))</f>
        <v>P0003</v>
      </c>
      <c r="H86" s="2" t="str">
        <f>IF(A86=0,"",IF((VLOOKUP(A86,'[1]plan gier'!$X:$AF,7,FALSE))="","",VLOOKUP(A86,'[1]plan gier'!$X:$AF,9,FALSE)))</f>
        <v>21:6,19:21,21:8</v>
      </c>
      <c r="J86" s="123"/>
      <c r="L86" s="42" t="str">
        <f>IF(A86=0,"",IF(VLOOKUP(A86,'[1]plan gier'!A:S,19,FALSE)="","",VLOOKUP(A86,'[1]plan gier'!A:S,19,FALSE)))</f>
        <v>godz.11:20</v>
      </c>
      <c r="M86" s="2" t="str">
        <f>N83</f>
        <v>Runners Up</v>
      </c>
      <c r="N86" s="124"/>
      <c r="O86" s="125"/>
      <c r="P86" s="124"/>
      <c r="S86" s="8"/>
      <c r="T86" s="127"/>
      <c r="U86" s="2"/>
      <c r="V86" s="2"/>
      <c r="W86" s="128"/>
      <c r="X86" s="9"/>
      <c r="Y86" s="129">
        <v>29</v>
      </c>
      <c r="Z86" s="309" t="str">
        <f>IF(ISBLANK(Y86),IF(AND(LEN(W84)&gt;0,LEN(W88)=0),W84,IF(AND(LEN(W88)&gt;0,LEN(W84)=0),W88,"")),IF((VLOOKUP(Y86,'[1]plan gier'!$X:$AF,7,FALSE))="","",VLOOKUP(VLOOKUP(Y86,'[1]plan gier'!$X:$AF,7,FALSE),'[1]zawodnicy'!$A:$E,3,FALSE)))</f>
        <v>PIENIĄŻEK</v>
      </c>
      <c r="AA86" s="309"/>
      <c r="AB86" s="309"/>
      <c r="AC86" s="2"/>
      <c r="AD86" s="2"/>
      <c r="AE86" s="2"/>
      <c r="AF86" s="2"/>
    </row>
    <row r="87" spans="10:63" ht="11.25" customHeight="1">
      <c r="J87" s="123"/>
      <c r="N87" s="124"/>
      <c r="O87" s="125"/>
      <c r="P87" s="124"/>
      <c r="S87" s="8"/>
      <c r="T87" s="127"/>
      <c r="U87" s="2"/>
      <c r="V87" s="2"/>
      <c r="W87" s="128"/>
      <c r="X87" s="9"/>
      <c r="Y87" s="130"/>
      <c r="Z87" s="311" t="str">
        <f>IF(ISBLANK(Y86),"",IF((VLOOKUP(Y86,'[1]plan gier'!$X:$AF,7,FALSE))="",L86,VLOOKUP(Y86,'[1]plan gier'!$X:$AF,9,FALSE)))</f>
        <v>21:6,19:21,21:8</v>
      </c>
      <c r="AA87" s="311"/>
      <c r="AB87" s="31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1:63" ht="11.25" customHeight="1">
      <c r="A88" s="122">
        <f>V88</f>
        <v>25</v>
      </c>
      <c r="B88" s="2" t="str">
        <f>IF(TYPE(S88)=16,"",S88)</f>
        <v>B0006</v>
      </c>
      <c r="D88" s="2" t="str">
        <f>IF(TYPE(S89)=16,"",S89)</f>
        <v>M0019</v>
      </c>
      <c r="F88" s="2" t="str">
        <f>IF(A88=0,IF(AND(LEN(B88)&gt;0,LEN(D88)=0),VLOOKUP(B88,'[1]zawodnicy'!$A:$E,1,FALSE),IF(AND(LEN(D88)&gt;0,LEN(B88)=0),VLOOKUP(D88,'[1]zawodnicy'!$A:$E,1,FALSE),"")),IF((VLOOKUP(A88,'[1]plan gier'!$X:$AF,7,FALSE))="","",VLOOKUP(VLOOKUP(A88,'[1]plan gier'!$X:$AF,7,FALSE),'[1]zawodnicy'!$A:$E,1,FALSE)))</f>
        <v>B0006</v>
      </c>
      <c r="H88" s="2" t="str">
        <f>IF(A88=0,"",IF((VLOOKUP(A88,'[1]plan gier'!$X:$AF,7,FALSE))="","",VLOOKUP(A88,'[1]plan gier'!$X:$AF,9,FALSE)))</f>
        <v>21:16,21:6</v>
      </c>
      <c r="J88" s="123"/>
      <c r="L88" s="42" t="str">
        <f>IF(A88=0,"",IF(VLOOKUP(A88,'[1]plan gier'!A:S,19,FALSE)="","",VLOOKUP(A88,'[1]plan gier'!A:S,19,FALSE)))</f>
        <v>godz.11:00</v>
      </c>
      <c r="M88" s="2" t="str">
        <f>N83</f>
        <v>Runners Up</v>
      </c>
      <c r="N88" s="124"/>
      <c r="O88" s="125"/>
      <c r="P88" s="124"/>
      <c r="Q88" s="19" t="s">
        <v>42</v>
      </c>
      <c r="S88" s="313" t="str">
        <f>UPPER(IF(N83="","",IF(TYPE(VLOOKUP(1&amp;3&amp;N83,I:J,2,FALSE))=2,VLOOKUP(1&amp;3&amp;N83,I:J,2,FALSE),"")))</f>
        <v>B0006</v>
      </c>
      <c r="T88" s="314"/>
      <c r="U88" s="131" t="str">
        <f>IF(S88&lt;&gt;"",CONCATENATE(VLOOKUP(S88,'[1]zawodnicy'!$A:$E,2,FALSE)," ",VLOOKUP(S88,'[1]zawodnicy'!$A:$E,3,FALSE)," - ",VLOOKUP(S88,'[1]zawodnicy'!$A:$E,4,FALSE)),"")</f>
        <v>Adrian BOGDAN - Nowa Dęba</v>
      </c>
      <c r="V88" s="132">
        <v>25</v>
      </c>
      <c r="W88" s="308" t="str">
        <f>IF(ISBLANK(V88),IF(AND(LEN(S88)&gt;0,LEN(S89)=0),VLOOKUP(S88,'[1]zawodnicy'!$A:$E,3,FALSE),IF(AND(LEN(S89)&gt;0,LEN(S88)=0),VLOOKUP(S89,'[1]zawodnicy'!$A:$E,3,FALSE),"")),IF((VLOOKUP(V88,'[1]plan gier'!$X:$AF,7,FALSE))="","",VLOOKUP(VLOOKUP(V88,'[1]plan gier'!$X:$AF,7,FALSE),'[1]zawodnicy'!$A:$E,3,FALSE)))</f>
        <v>BOGDAN</v>
      </c>
      <c r="X88" s="309"/>
      <c r="Y88" s="315"/>
      <c r="Z88" s="9"/>
      <c r="AA88" s="9"/>
      <c r="AB88" s="133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10:63" ht="11.25" customHeight="1">
      <c r="J89" s="123"/>
      <c r="N89" s="124"/>
      <c r="O89" s="125"/>
      <c r="P89" s="124"/>
      <c r="Q89" s="19" t="s">
        <v>43</v>
      </c>
      <c r="S89" s="313" t="str">
        <f>UPPER(IF(N83="","",IF(TYPE(VLOOKUP(2&amp;6&amp;N83,I:J,2,FALSE))=2,VLOOKUP(2&amp;6&amp;N83,I:J,2,FALSE),"")))</f>
        <v>M0019</v>
      </c>
      <c r="T89" s="314"/>
      <c r="U89" s="131" t="str">
        <f>IF(S89&lt;&gt;"",CONCATENATE(VLOOKUP(S89,'[1]zawodnicy'!$A:$E,2,FALSE)," ",VLOOKUP(S89,'[1]zawodnicy'!$A:$E,3,FALSE)," - ",VLOOKUP(S89,'[1]zawodnicy'!$A:$E,4,FALSE)),"")</f>
        <v>Grzegorz MAC  - Rzeszów</v>
      </c>
      <c r="V89" s="134"/>
      <c r="W89" s="316" t="str">
        <f>IF(ISBLANK(V88),"",IF((VLOOKUP(V88,'[1]plan gier'!$X:$AF,7,FALSE))="",L88,VLOOKUP(V88,'[1]plan gier'!$X:$AF,9,FALSE)))</f>
        <v>21:16,21:6</v>
      </c>
      <c r="X89" s="317"/>
      <c r="Y89" s="317"/>
      <c r="Z89" s="9"/>
      <c r="AA89" s="9"/>
      <c r="AB89" s="133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</row>
    <row r="90" spans="1:63" ht="11.25" customHeight="1">
      <c r="A90" s="135">
        <f>AB90</f>
        <v>33</v>
      </c>
      <c r="B90" s="2" t="str">
        <f>F86</f>
        <v>P0003</v>
      </c>
      <c r="D90" s="2" t="str">
        <f>F94</f>
        <v>M0012</v>
      </c>
      <c r="F90" s="2" t="str">
        <f>IF(A90=0,IF(AND(LEN(B90)&gt;0,LEN(D90)=0),B90,IF(AND(LEN(D90)&gt;0,LEN(B90)=0),D90,"")),IF((VLOOKUP(A90,'[1]plan gier'!$X:$AF,7,FALSE))="","",VLOOKUP(VLOOKUP(A90,'[1]plan gier'!$X:$AF,7,FALSE),'[1]zawodnicy'!$A:$E,1,FALSE)))</f>
        <v>P0003</v>
      </c>
      <c r="H90" s="2" t="str">
        <f>IF(A90=0,"",IF((VLOOKUP(A90,'[1]plan gier'!$X:$AF,7,FALSE))="","",VLOOKUP(A90,'[1]plan gier'!$X:$AF,9,FALSE)))</f>
        <v>23:21,21:9</v>
      </c>
      <c r="J90" s="123"/>
      <c r="L90" s="42" t="str">
        <f>IF(A90=0,"",IF(VLOOKUP(A90,'[1]plan gier'!A:S,19,FALSE)="","",VLOOKUP(A90,'[1]plan gier'!A:S,19,FALSE)))</f>
        <v>godz.11:40</v>
      </c>
      <c r="M90" s="2" t="str">
        <f>N83</f>
        <v>Runners Up</v>
      </c>
      <c r="N90" s="124"/>
      <c r="O90" s="125"/>
      <c r="P90" s="124"/>
      <c r="S90" s="8"/>
      <c r="T90" s="127"/>
      <c r="U90" s="128"/>
      <c r="V90" s="2"/>
      <c r="W90" s="9"/>
      <c r="X90" s="2"/>
      <c r="Y90" s="2"/>
      <c r="Z90" s="9"/>
      <c r="AA90" s="9"/>
      <c r="AB90" s="129">
        <v>33</v>
      </c>
      <c r="AC90" s="309" t="str">
        <f>IF(ISBLANK(AB90),IF(AND(LEN(Z86)&gt;0,LEN(Z94)=0),Z86,IF(AND(LEN(Z94)&gt;0,LEN(Z86)=0),Z94,"")),IF((VLOOKUP(AB90,'[1]plan gier'!$X:$AF,7,FALSE))="","",VLOOKUP(VLOOKUP(AB90,'[1]plan gier'!$X:$AF,7,FALSE),'[1]zawodnicy'!$A:$E,3,FALSE)))</f>
        <v>PIENIĄŻEK</v>
      </c>
      <c r="AD90" s="309"/>
      <c r="AE90" s="309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10:63" ht="11.25" customHeight="1">
      <c r="J91" s="123"/>
      <c r="N91" s="124"/>
      <c r="O91" s="125"/>
      <c r="P91" s="124"/>
      <c r="S91" s="8"/>
      <c r="T91" s="127"/>
      <c r="U91" s="128"/>
      <c r="V91" s="2"/>
      <c r="W91" s="9"/>
      <c r="X91" s="2"/>
      <c r="Y91" s="2"/>
      <c r="Z91" s="9"/>
      <c r="AA91" s="9"/>
      <c r="AB91" s="130"/>
      <c r="AC91" s="311" t="str">
        <f>IF(ISBLANK(AB90),"",IF((VLOOKUP(AB90,'[1]plan gier'!$X:$AF,7,FALSE))="",L90,VLOOKUP(AB90,'[1]plan gier'!$X:$AF,9,FALSE)))</f>
        <v>23:21,21:9</v>
      </c>
      <c r="AD91" s="311"/>
      <c r="AE91" s="31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1:63" ht="11.25" customHeight="1">
      <c r="A92" s="122">
        <f>V92</f>
        <v>0</v>
      </c>
      <c r="B92" s="2" t="str">
        <f>IF(TYPE(S92)=16,"",S92)</f>
        <v>K0029</v>
      </c>
      <c r="F92" s="2" t="str">
        <f>IF(A92=0,IF(AND(LEN(B92)&gt;0,LEN(D92)=0),VLOOKUP(B92,'[1]zawodnicy'!$A:$E,1,FALSE),IF(AND(LEN(D92)&gt;0,LEN(B92)=0),VLOOKUP(D92,'[1]zawodnicy'!$A:$E,1,FALSE),"")),IF((VLOOKUP(A92,'[1]plan gier'!$X:$AF,7,FALSE))="","",VLOOKUP(VLOOKUP(A92,'[1]plan gier'!$X:$AF,7,FALSE),'[1]zawodnicy'!$A:$E,1,FALSE)))</f>
        <v>K0029</v>
      </c>
      <c r="H92" s="2">
        <f>IF(A92=0,"",IF((VLOOKUP(A92,'[1]plan gier'!$X:$AF,7,FALSE))="","",VLOOKUP(A92,'[1]plan gier'!$X:$AF,9,FALSE)))</f>
      </c>
      <c r="J92" s="123"/>
      <c r="L92" s="42">
        <f>IF(A92=0,"",IF(VLOOKUP(A92,'[1]plan gier'!A:S,19,FALSE)="","",VLOOKUP(A92,'[1]plan gier'!A:S,19,FALSE)))</f>
      </c>
      <c r="M92" s="2" t="str">
        <f>N83</f>
        <v>Runners Up</v>
      </c>
      <c r="N92" s="124"/>
      <c r="O92" s="125"/>
      <c r="P92" s="124"/>
      <c r="Q92" s="300" t="s">
        <v>44</v>
      </c>
      <c r="R92" s="301"/>
      <c r="S92" s="302" t="str">
        <f>UPPER(IF(N83="","",IF(TYPE(VLOOKUP(1&amp;2&amp;N83,I:J,2,FALSE))=2,VLOOKUP(1&amp;2&amp;N83,I:J,2,FALSE),"")))</f>
        <v>K0029</v>
      </c>
      <c r="T92" s="303"/>
      <c r="U92" s="303" t="str">
        <f>IF(S92&lt;&gt;"",CONCATENATE(VLOOKUP(S92,'[1]zawodnicy'!$A:$E,2,FALSE)," ",VLOOKUP(S92,'[1]zawodnicy'!$A:$E,3,FALSE)," - ",VLOOKUP(S92,'[1]zawodnicy'!$A:$E,4,FALSE)),"")</f>
        <v>Patryk KOPEĆ - Nowa Dęba</v>
      </c>
      <c r="V92" s="306"/>
      <c r="W92" s="308" t="str">
        <f>IF(ISBLANK(V92),IF(AND(LEN(S92)&gt;0,LEN(S93)=0),VLOOKUP(S92,'[1]zawodnicy'!$A:$E,3,FALSE),IF(AND(LEN(S93)&gt;0,LEN(S92)=0),VLOOKUP(S93,'[1]zawodnicy'!$A:$E,3,FALSE),"")),IF((VLOOKUP(V92,'[1]plan gier'!$X:$AF,7,FALSE))="","",VLOOKUP(VLOOKUP(V92,'[1]plan gier'!$X:$AF,7,FALSE),'[1]zawodnicy'!$A:$E,3,FALSE)))</f>
        <v>KOPEĆ</v>
      </c>
      <c r="X92" s="309"/>
      <c r="Y92" s="309"/>
      <c r="Z92" s="9"/>
      <c r="AA92" s="9"/>
      <c r="AB92" s="133"/>
      <c r="AC92" s="9"/>
      <c r="AD92" s="9"/>
      <c r="AE92" s="133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10:63" ht="11.25" customHeight="1">
      <c r="J93" s="123"/>
      <c r="N93" s="124"/>
      <c r="O93" s="125"/>
      <c r="P93" s="124"/>
      <c r="Q93" s="300"/>
      <c r="R93" s="301"/>
      <c r="S93" s="304"/>
      <c r="T93" s="305"/>
      <c r="U93" s="305"/>
      <c r="V93" s="307"/>
      <c r="W93" s="310"/>
      <c r="X93" s="311"/>
      <c r="Y93" s="312"/>
      <c r="Z93" s="9"/>
      <c r="AA93" s="9"/>
      <c r="AB93" s="133"/>
      <c r="AC93" s="9"/>
      <c r="AD93" s="9"/>
      <c r="AE93" s="133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spans="1:63" ht="11.25" customHeight="1">
      <c r="A94" s="126">
        <f>Y94</f>
        <v>30</v>
      </c>
      <c r="B94" s="2" t="str">
        <f>F92</f>
        <v>K0029</v>
      </c>
      <c r="D94" s="2" t="str">
        <f>F96</f>
        <v>M0012</v>
      </c>
      <c r="F94" s="2" t="str">
        <f>IF(A94=0,IF(AND(LEN(B94)&gt;0,LEN(D94)=0),B94,IF(AND(LEN(D94)&gt;0,LEN(B94)=0),D94,"")),IF((VLOOKUP(A94,'[1]plan gier'!$X:$AF,7,FALSE))="","",VLOOKUP(VLOOKUP(A94,'[1]plan gier'!$X:$AF,7,FALSE),'[1]zawodnicy'!$A:$E,1,FALSE)))</f>
        <v>M0012</v>
      </c>
      <c r="H94" s="2" t="str">
        <f>IF(A94=0,"",IF((VLOOKUP(A94,'[1]plan gier'!$X:$AF,7,FALSE))="","",VLOOKUP(A94,'[1]plan gier'!$X:$AF,9,FALSE)))</f>
        <v>21:15,21:10</v>
      </c>
      <c r="J94" s="123"/>
      <c r="L94" s="42" t="str">
        <f>IF(A94=0,"",IF(VLOOKUP(A94,'[1]plan gier'!A:S,19,FALSE)="","",VLOOKUP(A94,'[1]plan gier'!A:S,19,FALSE)))</f>
        <v>godz.11:20</v>
      </c>
      <c r="M94" s="2" t="str">
        <f>N83</f>
        <v>Runners Up</v>
      </c>
      <c r="N94" s="124"/>
      <c r="O94" s="125"/>
      <c r="P94" s="124"/>
      <c r="S94" s="8"/>
      <c r="T94" s="127"/>
      <c r="U94" s="2"/>
      <c r="V94" s="2"/>
      <c r="W94" s="128"/>
      <c r="X94" s="9"/>
      <c r="Y94" s="129">
        <v>30</v>
      </c>
      <c r="Z94" s="309" t="str">
        <f>IF(ISBLANK(Y94),IF(AND(LEN(W92)&gt;0,LEN(W96)=0),W92,IF(AND(LEN(W96)&gt;0,LEN(W92)=0),W96,"")),IF((VLOOKUP(Y94,'[1]plan gier'!$X:$AF,7,FALSE))="","",VLOOKUP(VLOOKUP(Y94,'[1]plan gier'!$X:$AF,7,FALSE),'[1]zawodnicy'!$A:$E,3,FALSE)))</f>
        <v>MAZUR</v>
      </c>
      <c r="AA94" s="309"/>
      <c r="AB94" s="315"/>
      <c r="AC94" s="9"/>
      <c r="AD94" s="9"/>
      <c r="AE94" s="133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10:63" ht="11.25" customHeight="1">
      <c r="J95" s="123"/>
      <c r="N95" s="124"/>
      <c r="O95" s="125"/>
      <c r="P95" s="124"/>
      <c r="S95" s="8"/>
      <c r="T95" s="127"/>
      <c r="U95" s="2"/>
      <c r="V95" s="2"/>
      <c r="W95" s="128"/>
      <c r="X95" s="9"/>
      <c r="Y95" s="130"/>
      <c r="Z95" s="317" t="str">
        <f>IF(ISBLANK(Y94),"",IF((VLOOKUP(Y94,'[1]plan gier'!$X:$AF,7,FALSE))="",L94,VLOOKUP(Y94,'[1]plan gier'!$X:$AF,9,FALSE)))</f>
        <v>21:15,21:10</v>
      </c>
      <c r="AA95" s="317"/>
      <c r="AB95" s="317"/>
      <c r="AC95" s="9"/>
      <c r="AD95" s="9"/>
      <c r="AE95" s="133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1:63" ht="11.25" customHeight="1">
      <c r="A96" s="122">
        <f>V96</f>
        <v>26</v>
      </c>
      <c r="B96" s="2" t="str">
        <f>IF(TYPE(S96)=16,"",S96)</f>
        <v>M0012</v>
      </c>
      <c r="D96" s="2" t="str">
        <f>IF(TYPE(S97)=16,"",S97)</f>
        <v>R0008</v>
      </c>
      <c r="F96" s="2" t="str">
        <f>IF(A96=0,IF(AND(LEN(B96)&gt;0,LEN(D96)=0),VLOOKUP(B96,'[1]zawodnicy'!$A:$E,1,FALSE),IF(AND(LEN(D96)&gt;0,LEN(B96)=0),VLOOKUP(D96,'[1]zawodnicy'!$A:$E,1,FALSE),"")),IF((VLOOKUP(A96,'[1]plan gier'!$X:$AF,7,FALSE))="","",VLOOKUP(VLOOKUP(A96,'[1]plan gier'!$X:$AF,7,FALSE),'[1]zawodnicy'!$A:$E,1,FALSE)))</f>
        <v>M0012</v>
      </c>
      <c r="H96" s="2" t="str">
        <f>IF(A96=0,"",IF((VLOOKUP(A96,'[1]plan gier'!$X:$AF,7,FALSE))="","",VLOOKUP(A96,'[1]plan gier'!$X:$AF,9,FALSE)))</f>
        <v>21:13,21:16</v>
      </c>
      <c r="J96" s="123"/>
      <c r="L96" s="42" t="str">
        <f>IF(A96=0,"",IF(VLOOKUP(A96,'[1]plan gier'!A:S,19,FALSE)="","",VLOOKUP(A96,'[1]plan gier'!A:S,19,FALSE)))</f>
        <v>godz.11:00</v>
      </c>
      <c r="M96" s="2" t="str">
        <f>N83</f>
        <v>Runners Up</v>
      </c>
      <c r="N96" s="124"/>
      <c r="O96" s="125"/>
      <c r="P96" s="124"/>
      <c r="Q96" s="19" t="s">
        <v>45</v>
      </c>
      <c r="S96" s="313" t="str">
        <f>UPPER(IF(N83="","",IF(TYPE(VLOOKUP(2&amp;5&amp;N83,I:J,2,FALSE))=2,VLOOKUP(2&amp;5&amp;N83,I:J,2,FALSE),"")))</f>
        <v>M0012</v>
      </c>
      <c r="T96" s="314"/>
      <c r="U96" s="131" t="str">
        <f>IF(S96&lt;&gt;"",CONCATENATE(VLOOKUP(S96,'[1]zawodnicy'!$A:$E,2,FALSE)," ",VLOOKUP(S96,'[1]zawodnicy'!$A:$E,3,FALSE)," - ",VLOOKUP(S96,'[1]zawodnicy'!$A:$E,4,FALSE)),"")</f>
        <v>Jarosław MAZUR - Mielec</v>
      </c>
      <c r="V96" s="132">
        <v>26</v>
      </c>
      <c r="W96" s="308" t="str">
        <f>IF(ISBLANK(V96),IF(AND(LEN(S96)&gt;0,LEN(S97)=0),VLOOKUP(S96,'[1]zawodnicy'!$A:$E,3,FALSE),IF(AND(LEN(S97)&gt;0,LEN(S96)=0),VLOOKUP(S97,'[1]zawodnicy'!$A:$E,3,FALSE),"")),IF((VLOOKUP(V96,'[1]plan gier'!$X:$AF,7,FALSE))="","",VLOOKUP(VLOOKUP(V96,'[1]plan gier'!$X:$AF,7,FALSE),'[1]zawodnicy'!$A:$E,3,FALSE)))</f>
        <v>MAZUR</v>
      </c>
      <c r="X96" s="309"/>
      <c r="Y96" s="315"/>
      <c r="Z96" s="2"/>
      <c r="AA96" s="2"/>
      <c r="AB96" s="2"/>
      <c r="AC96" s="317"/>
      <c r="AD96" s="317"/>
      <c r="AE96" s="318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10:63" ht="11.25" customHeight="1">
      <c r="J97" s="123"/>
      <c r="N97" s="124"/>
      <c r="O97" s="125"/>
      <c r="P97" s="124"/>
      <c r="Q97" s="19" t="s">
        <v>46</v>
      </c>
      <c r="S97" s="313" t="str">
        <f>UPPER(IF(N83="","",IF(TYPE(VLOOKUP(2&amp;4&amp;N83,I:J,2,FALSE))=2,VLOOKUP(2&amp;4&amp;N83,I:J,2,FALSE),"")))</f>
        <v>R0008</v>
      </c>
      <c r="T97" s="314"/>
      <c r="U97" s="131" t="str">
        <f>IF(S97&lt;&gt;"",CONCATENATE(VLOOKUP(S97,'[1]zawodnicy'!$A:$E,2,FALSE)," ",VLOOKUP(S97,'[1]zawodnicy'!$A:$E,3,FALSE)," - ",VLOOKUP(S97,'[1]zawodnicy'!$A:$E,4,FALSE)),"")</f>
        <v>Dawid RZESZUTEK - Mielec</v>
      </c>
      <c r="V97" s="134"/>
      <c r="W97" s="316" t="str">
        <f>IF(ISBLANK(V96),"",IF((VLOOKUP(V96,'[1]plan gier'!$X:$AF,7,FALSE))="",L96,VLOOKUP(V96,'[1]plan gier'!$X:$AF,9,FALSE)))</f>
        <v>21:13,21:16</v>
      </c>
      <c r="X97" s="317"/>
      <c r="Y97" s="317"/>
      <c r="Z97" s="2"/>
      <c r="AA97" s="2"/>
      <c r="AB97" s="2"/>
      <c r="AC97" s="9"/>
      <c r="AD97" s="9"/>
      <c r="AE97" s="133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1:63" ht="11.25" customHeight="1">
      <c r="A98" s="136">
        <f>AB98</f>
        <v>36</v>
      </c>
      <c r="B98" s="2" t="str">
        <f>F90</f>
        <v>P0003</v>
      </c>
      <c r="D98" s="2" t="str">
        <f>F106</f>
        <v>K0033</v>
      </c>
      <c r="F98" s="2" t="str">
        <f>IF(A98=0,IF(AND(LEN(B98)&gt;0,LEN(D98)=0),B98,IF(AND(LEN(D98)&gt;0,LEN(B98)=0),D98,"")),IF((VLOOKUP(A98,'[1]plan gier'!$X:$AF,7,FALSE))="","",VLOOKUP(VLOOKUP(A98,'[1]plan gier'!$X:$AF,7,FALSE),'[1]zawodnicy'!$A:$E,1,FALSE)))</f>
        <v>P0003</v>
      </c>
      <c r="H98" s="2" t="str">
        <f>IF(A98=0,"",IF((VLOOKUP(A98,'[1]plan gier'!$X:$AF,7,FALSE))="","",VLOOKUP(A98,'[1]plan gier'!$X:$AF,9,FALSE)))</f>
        <v>21:8,21:13</v>
      </c>
      <c r="J98" s="123"/>
      <c r="L98" s="42" t="str">
        <f>IF(A98=0,"",IF(VLOOKUP(A98,'[1]plan gier'!A:S,19,FALSE)="","",VLOOKUP(A98,'[1]plan gier'!A:S,19,FALSE)))</f>
        <v>godz.11:40</v>
      </c>
      <c r="M98" s="2" t="str">
        <f>N83</f>
        <v>Runners Up</v>
      </c>
      <c r="N98" s="124"/>
      <c r="O98" s="125"/>
      <c r="P98" s="124"/>
      <c r="S98" s="8"/>
      <c r="T98" s="127"/>
      <c r="U98" s="128"/>
      <c r="V98" s="2"/>
      <c r="W98" s="9"/>
      <c r="X98" s="2"/>
      <c r="Y98" s="2"/>
      <c r="Z98" s="2"/>
      <c r="AA98" s="2"/>
      <c r="AB98" s="137">
        <v>36</v>
      </c>
      <c r="AC98" s="309" t="str">
        <f>IF(ISBLANK(AB98),IF(AND(LEN(AC90)&gt;0,LEN(AC106)=0),AC90,IF(AND(LEN(AC106)&gt;0,LEN(AC90)=0),AC106,"")),IF((VLOOKUP(AB98,'[1]plan gier'!$X:$AF,7,FALSE))="","",VLOOKUP(VLOOKUP(AB98,'[1]plan gier'!$X:$AF,7,FALSE),'[1]zawodnicy'!$A:$E,3,FALSE)))</f>
        <v>PIENIĄŻEK</v>
      </c>
      <c r="AD98" s="309"/>
      <c r="AE98" s="315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10:63" ht="11.25" customHeight="1">
      <c r="J99" s="123"/>
      <c r="N99" s="124"/>
      <c r="O99" s="125"/>
      <c r="P99" s="124"/>
      <c r="S99" s="8"/>
      <c r="T99" s="127"/>
      <c r="U99" s="128"/>
      <c r="V99" s="2"/>
      <c r="W99" s="9"/>
      <c r="X99" s="2"/>
      <c r="Y99" s="2"/>
      <c r="Z99" s="2"/>
      <c r="AA99" s="2"/>
      <c r="AB99" s="2"/>
      <c r="AC99" s="317" t="str">
        <f>IF(ISBLANK(AB98),"",IF((VLOOKUP(AB98,'[1]plan gier'!$X:$AF,7,FALSE))="",L98,VLOOKUP(AB98,'[1]plan gier'!$X:$AF,9,FALSE)))</f>
        <v>21:8,21:13</v>
      </c>
      <c r="AD99" s="317"/>
      <c r="AE99" s="318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</row>
    <row r="100" spans="1:63" ht="11.25" customHeight="1">
      <c r="A100" s="122">
        <f>V100</f>
        <v>27</v>
      </c>
      <c r="B100" s="2" t="str">
        <f>IF(TYPE(S100)=16,"",S100)</f>
        <v>N0002</v>
      </c>
      <c r="D100" s="2" t="str">
        <f>IF(TYPE(S101)=16,"",S101)</f>
        <v>M0008</v>
      </c>
      <c r="F100" s="2" t="str">
        <f>IF(A100=0,IF(AND(LEN(B100)&gt;0,LEN(D100)=0),VLOOKUP(B100,'[1]zawodnicy'!$A:$E,1,FALSE),IF(AND(LEN(D100)&gt;0,LEN(B100)=0),VLOOKUP(D100,'[1]zawodnicy'!$A:$E,1,FALSE),"")),IF((VLOOKUP(A100,'[1]plan gier'!$X:$AF,7,FALSE))="","",VLOOKUP(VLOOKUP(A100,'[1]plan gier'!$X:$AF,7,FALSE),'[1]zawodnicy'!$A:$E,1,FALSE)))</f>
        <v>N0002</v>
      </c>
      <c r="H100" s="2" t="str">
        <f>IF(A100=0,"",IF((VLOOKUP(A100,'[1]plan gier'!$X:$AF,7,FALSE))="","",VLOOKUP(A100,'[1]plan gier'!$X:$AF,9,FALSE)))</f>
        <v>21:16,21:14</v>
      </c>
      <c r="J100" s="123"/>
      <c r="L100" s="42" t="str">
        <f>IF(A100=0,"",IF(VLOOKUP(A100,'[1]plan gier'!A:S,19,FALSE)="","",VLOOKUP(A100,'[1]plan gier'!A:S,19,FALSE)))</f>
        <v>godz.11:00</v>
      </c>
      <c r="M100" s="2" t="str">
        <f>N83</f>
        <v>Runners Up</v>
      </c>
      <c r="N100" s="124"/>
      <c r="O100" s="125"/>
      <c r="P100" s="124"/>
      <c r="Q100" s="19" t="s">
        <v>47</v>
      </c>
      <c r="S100" s="313" t="str">
        <f>UPPER(IF(N83="","",IF(TYPE(VLOOKUP(2&amp;3&amp;N83,I:J,2,FALSE))=2,VLOOKUP(2&amp;3&amp;N83,I:J,2,FALSE),"")))</f>
        <v>N0002</v>
      </c>
      <c r="T100" s="314"/>
      <c r="U100" s="131" t="str">
        <f>IF(S100&lt;&gt;"",CONCATENATE(VLOOKUP(S100,'[1]zawodnicy'!$A:$E,2,FALSE)," ",VLOOKUP(S100,'[1]zawodnicy'!$A:$E,3,FALSE)," - ",VLOOKUP(S100,'[1]zawodnicy'!$A:$E,4,FALSE)),"")</f>
        <v>Robert NOWAK - Mielec</v>
      </c>
      <c r="V100" s="132">
        <v>27</v>
      </c>
      <c r="W100" s="308" t="str">
        <f>IF(ISBLANK(V100),IF(AND(LEN(S100)&gt;0,LEN(S101)=0),VLOOKUP(S100,'[1]zawodnicy'!$A:$E,3,FALSE),IF(AND(LEN(S101)&gt;0,LEN(S100)=0),VLOOKUP(S101,'[1]zawodnicy'!$A:$E,3,FALSE),"")),IF((VLOOKUP(V100,'[1]plan gier'!$X:$AF,7,FALSE))="","",VLOOKUP(VLOOKUP(V100,'[1]plan gier'!$X:$AF,7,FALSE),'[1]zawodnicy'!$A:$E,3,FALSE)))</f>
        <v>NOWAK</v>
      </c>
      <c r="X100" s="309"/>
      <c r="Y100" s="309"/>
      <c r="Z100" s="2"/>
      <c r="AA100" s="2"/>
      <c r="AB100" s="2"/>
      <c r="AC100" s="9"/>
      <c r="AD100" s="9"/>
      <c r="AE100" s="133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</row>
    <row r="101" spans="10:63" ht="11.25" customHeight="1">
      <c r="J101" s="123"/>
      <c r="N101" s="124"/>
      <c r="O101" s="125"/>
      <c r="P101" s="124"/>
      <c r="Q101" s="19" t="s">
        <v>48</v>
      </c>
      <c r="S101" s="313" t="str">
        <f>UPPER(IF(N83="","",IF(TYPE(VLOOKUP(2&amp;2&amp;N83,I:J,2,FALSE))=2,VLOOKUP(2&amp;2&amp;N83,I:J,2,FALSE),"")))</f>
        <v>M0008</v>
      </c>
      <c r="T101" s="314"/>
      <c r="U101" s="131" t="str">
        <f>IF(S101&lt;&gt;"",CONCATENATE(VLOOKUP(S101,'[1]zawodnicy'!$A:$E,2,FALSE)," ",VLOOKUP(S101,'[1]zawodnicy'!$A:$E,3,FALSE)," - ",VLOOKUP(S101,'[1]zawodnicy'!$A:$E,4,FALSE)),"")</f>
        <v>Tadeusz MICHALIK - Tarnów</v>
      </c>
      <c r="V101" s="134"/>
      <c r="W101" s="310" t="str">
        <f>IF(ISBLANK(V100),"",IF((VLOOKUP(V100,'[1]plan gier'!$X:$AF,7,FALSE))="",L100,VLOOKUP(V100,'[1]plan gier'!$X:$AF,9,FALSE)))</f>
        <v>21:16,21:14</v>
      </c>
      <c r="X101" s="311"/>
      <c r="Y101" s="312"/>
      <c r="Z101" s="2"/>
      <c r="AA101" s="2"/>
      <c r="AB101" s="2"/>
      <c r="AC101" s="9"/>
      <c r="AD101" s="9"/>
      <c r="AE101" s="133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</row>
    <row r="102" spans="1:63" ht="11.25" customHeight="1">
      <c r="A102" s="126">
        <f>Y102</f>
        <v>31</v>
      </c>
      <c r="B102" s="2" t="str">
        <f>F100</f>
        <v>N0002</v>
      </c>
      <c r="D102" s="2" t="str">
        <f>F104</f>
        <v>W0010</v>
      </c>
      <c r="F102" s="2" t="str">
        <f>IF(A102=0,IF(AND(LEN(B102)&gt;0,LEN(D102)=0),B102,IF(AND(LEN(D102)&gt;0,LEN(B102)=0),D102,"")),IF((VLOOKUP(A102,'[1]plan gier'!$X:$AF,7,FALSE))="","",VLOOKUP(VLOOKUP(A102,'[1]plan gier'!$X:$AF,7,FALSE),'[1]zawodnicy'!$A:$E,1,FALSE)))</f>
        <v>W0010</v>
      </c>
      <c r="H102" s="2" t="str">
        <f>IF(A102=0,"",IF((VLOOKUP(A102,'[1]plan gier'!$X:$AF,7,FALSE))="","",VLOOKUP(A102,'[1]plan gier'!$X:$AF,9,FALSE)))</f>
        <v>15:21,21:19,22:20</v>
      </c>
      <c r="J102" s="123"/>
      <c r="L102" s="42" t="str">
        <f>IF(A102=0,"",IF(VLOOKUP(A102,'[1]plan gier'!A:S,19,FALSE)="","",VLOOKUP(A102,'[1]plan gier'!A:S,19,FALSE)))</f>
        <v>godz.11:20</v>
      </c>
      <c r="M102" s="2" t="str">
        <f>N83</f>
        <v>Runners Up</v>
      </c>
      <c r="N102" s="124"/>
      <c r="O102" s="125"/>
      <c r="P102" s="124"/>
      <c r="S102" s="8"/>
      <c r="T102" s="127"/>
      <c r="U102" s="2"/>
      <c r="V102" s="2"/>
      <c r="W102" s="128"/>
      <c r="X102" s="9"/>
      <c r="Y102" s="129">
        <v>31</v>
      </c>
      <c r="Z102" s="317" t="str">
        <f>IF(ISBLANK(Y102),IF(AND(LEN(W100)&gt;0,LEN(W104)=0),W100,IF(AND(LEN(W104)&gt;0,LEN(W100)=0),W104,"")),IF((VLOOKUP(Y102,'[1]plan gier'!$X:$AF,7,FALSE))="","",VLOOKUP(VLOOKUP(Y102,'[1]plan gier'!$X:$AF,7,FALSE),'[1]zawodnicy'!$A:$E,3,FALSE)))</f>
        <v>WALAS</v>
      </c>
      <c r="AA102" s="317"/>
      <c r="AB102" s="317"/>
      <c r="AC102" s="9"/>
      <c r="AD102" s="9"/>
      <c r="AE102" s="133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</row>
    <row r="103" spans="10:63" ht="11.25" customHeight="1">
      <c r="J103" s="123"/>
      <c r="N103" s="124"/>
      <c r="O103" s="125"/>
      <c r="P103" s="124"/>
      <c r="S103" s="8"/>
      <c r="T103" s="127"/>
      <c r="U103" s="2"/>
      <c r="V103" s="2"/>
      <c r="W103" s="128"/>
      <c r="X103" s="9"/>
      <c r="Y103" s="130"/>
      <c r="Z103" s="311" t="str">
        <f>IF(ISBLANK(Y102),"",IF((VLOOKUP(Y102,'[1]plan gier'!$X:$AF,7,FALSE))="",L102,VLOOKUP(Y102,'[1]plan gier'!$X:$AF,9,FALSE)))</f>
        <v>15:21,21:19,22:20</v>
      </c>
      <c r="AA103" s="311"/>
      <c r="AB103" s="312"/>
      <c r="AC103" s="9"/>
      <c r="AD103" s="9"/>
      <c r="AE103" s="133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spans="1:63" ht="11.25" customHeight="1">
      <c r="A104" s="122">
        <f>V104</f>
        <v>0</v>
      </c>
      <c r="B104" s="2" t="str">
        <f>IF(TYPE(S104)=16,"",S104)</f>
        <v>W0010</v>
      </c>
      <c r="F104" s="2" t="str">
        <f>IF(A104=0,IF(AND(LEN(B104)&gt;0,LEN(D104)=0),VLOOKUP(B104,'[1]zawodnicy'!$A:$E,1,FALSE),IF(AND(LEN(D104)&gt;0,LEN(B104)=0),VLOOKUP(D104,'[1]zawodnicy'!$A:$E,1,FALSE),"")),IF((VLOOKUP(A104,'[1]plan gier'!$X:$AF,7,FALSE))="","",VLOOKUP(VLOOKUP(A104,'[1]plan gier'!$X:$AF,7,FALSE),'[1]zawodnicy'!$A:$E,1,FALSE)))</f>
        <v>W0010</v>
      </c>
      <c r="H104" s="2">
        <f>IF(A104=0,"",IF((VLOOKUP(A104,'[1]plan gier'!$X:$AF,7,FALSE))="","",VLOOKUP(A104,'[1]plan gier'!$X:$AF,9,FALSE)))</f>
      </c>
      <c r="J104" s="123"/>
      <c r="L104" s="42">
        <f>IF(A104=0,"",IF(VLOOKUP(A104,'[1]plan gier'!A:S,19,FALSE)="","",VLOOKUP(A104,'[1]plan gier'!A:S,19,FALSE)))</f>
      </c>
      <c r="M104" s="2" t="str">
        <f>N83</f>
        <v>Runners Up</v>
      </c>
      <c r="N104" s="124"/>
      <c r="O104" s="125"/>
      <c r="P104" s="124"/>
      <c r="Q104" s="300" t="s">
        <v>49</v>
      </c>
      <c r="R104" s="301"/>
      <c r="S104" s="302" t="str">
        <f>UPPER(IF(N83="","",IF(TYPE(VLOOKUP(1&amp;5&amp;N83,I:J,2,FALSE))=2,VLOOKUP(1&amp;5&amp;N83,I:J,2,FALSE),"")))</f>
        <v>W0010</v>
      </c>
      <c r="T104" s="303"/>
      <c r="U104" s="303" t="str">
        <f>IF(S104&lt;&gt;"",CONCATENATE(VLOOKUP(S104,'[1]zawodnicy'!$A:$E,2,FALSE)," ",VLOOKUP(S104,'[1]zawodnicy'!$A:$E,3,FALSE)," - ",VLOOKUP(S104,'[1]zawodnicy'!$A:$E,4,FALSE)),"")</f>
        <v>Dariusz WALAS - Rzeszów</v>
      </c>
      <c r="V104" s="306"/>
      <c r="W104" s="308" t="str">
        <f>IF(ISBLANK(V104),IF(AND(LEN(S104)&gt;0,LEN(S105)=0),VLOOKUP(S104,'[1]zawodnicy'!$A:$E,3,FALSE),IF(AND(LEN(S105)&gt;0,LEN(S104)=0),VLOOKUP(S105,'[1]zawodnicy'!$A:$E,3,FALSE),"")),IF((VLOOKUP(V104,'[1]plan gier'!$X:$AF,7,FALSE))="","",VLOOKUP(VLOOKUP(V104,'[1]plan gier'!$X:$AF,7,FALSE),'[1]zawodnicy'!$A:$E,3,FALSE)))</f>
        <v>WALAS</v>
      </c>
      <c r="X104" s="309"/>
      <c r="Y104" s="315"/>
      <c r="Z104" s="9"/>
      <c r="AA104" s="9"/>
      <c r="AB104" s="133"/>
      <c r="AC104" s="9"/>
      <c r="AD104" s="9"/>
      <c r="AE104" s="133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</row>
    <row r="105" spans="10:63" ht="11.25" customHeight="1">
      <c r="J105" s="123"/>
      <c r="N105" s="124"/>
      <c r="O105" s="125"/>
      <c r="P105" s="124"/>
      <c r="Q105" s="300"/>
      <c r="R105" s="301"/>
      <c r="S105" s="304"/>
      <c r="T105" s="305"/>
      <c r="U105" s="305"/>
      <c r="V105" s="307"/>
      <c r="W105" s="316"/>
      <c r="X105" s="317"/>
      <c r="Y105" s="317"/>
      <c r="Z105" s="9"/>
      <c r="AA105" s="9"/>
      <c r="AB105" s="133"/>
      <c r="AC105" s="9"/>
      <c r="AD105" s="9"/>
      <c r="AE105" s="133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</row>
    <row r="106" spans="1:63" ht="11.25" customHeight="1">
      <c r="A106" s="135">
        <f>AB106</f>
        <v>34</v>
      </c>
      <c r="B106" s="2" t="str">
        <f>F102</f>
        <v>W0010</v>
      </c>
      <c r="D106" s="2" t="str">
        <f>F110</f>
        <v>K0033</v>
      </c>
      <c r="F106" s="2" t="str">
        <f>IF(A106=0,IF(AND(LEN(B106)&gt;0,LEN(D106)=0),B106,IF(AND(LEN(D106)&gt;0,LEN(B106)=0),D106,"")),IF((VLOOKUP(A106,'[1]plan gier'!$X:$AF,7,FALSE))="","",VLOOKUP(VLOOKUP(A106,'[1]plan gier'!$X:$AF,7,FALSE),'[1]zawodnicy'!$A:$E,1,FALSE)))</f>
        <v>K0033</v>
      </c>
      <c r="H106" s="2" t="str">
        <f>IF(A106=0,"",IF((VLOOKUP(A106,'[1]plan gier'!$X:$AF,7,FALSE))="","",VLOOKUP(A106,'[1]plan gier'!$X:$AF,9,FALSE)))</f>
        <v>21:12,21:12</v>
      </c>
      <c r="J106" s="123"/>
      <c r="L106" s="42" t="str">
        <f>IF(A106=0,"",IF(VLOOKUP(A106,'[1]plan gier'!A:S,19,FALSE)="","",VLOOKUP(A106,'[1]plan gier'!A:S,19,FALSE)))</f>
        <v>godz.11:40</v>
      </c>
      <c r="M106" s="2" t="str">
        <f>N83</f>
        <v>Runners Up</v>
      </c>
      <c r="N106" s="124"/>
      <c r="O106" s="125"/>
      <c r="P106" s="124"/>
      <c r="S106" s="8"/>
      <c r="T106" s="127"/>
      <c r="U106" s="128"/>
      <c r="V106" s="2"/>
      <c r="W106" s="9"/>
      <c r="X106" s="2"/>
      <c r="Y106" s="2"/>
      <c r="Z106" s="9"/>
      <c r="AA106" s="9"/>
      <c r="AB106" s="129">
        <v>34</v>
      </c>
      <c r="AC106" s="309" t="str">
        <f>IF(ISBLANK(AB106),IF(AND(LEN(Z102)&gt;0,LEN(Z110)=0),Z102,IF(AND(LEN(Z110)&gt;0,LEN(Z102)=0),Z110,"")),IF((VLOOKUP(AB106,'[1]plan gier'!$X:$AF,7,FALSE))="","",VLOOKUP(VLOOKUP(AB106,'[1]plan gier'!$X:$AF,7,FALSE),'[1]zawodnicy'!$A:$E,3,FALSE)))</f>
        <v>KAMIŃSKI</v>
      </c>
      <c r="AD106" s="309"/>
      <c r="AE106" s="315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</row>
    <row r="107" spans="10:63" ht="11.25" customHeight="1">
      <c r="J107" s="123"/>
      <c r="N107" s="124"/>
      <c r="O107" s="125"/>
      <c r="P107" s="124"/>
      <c r="S107" s="8"/>
      <c r="T107" s="127"/>
      <c r="U107" s="128"/>
      <c r="V107" s="2"/>
      <c r="W107" s="9"/>
      <c r="X107" s="2"/>
      <c r="Y107" s="2"/>
      <c r="Z107" s="9"/>
      <c r="AA107" s="9"/>
      <c r="AB107" s="130"/>
      <c r="AC107" s="311" t="str">
        <f>IF(ISBLANK(AB106),"",IF((VLOOKUP(AB106,'[1]plan gier'!$X:$AF,7,FALSE))="",L106,VLOOKUP(AB106,'[1]plan gier'!$X:$AF,9,FALSE)))</f>
        <v>21:12,21:12</v>
      </c>
      <c r="AD107" s="311"/>
      <c r="AE107" s="311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</row>
    <row r="108" spans="1:63" ht="11.25" customHeight="1">
      <c r="A108" s="122">
        <f>V108</f>
        <v>28</v>
      </c>
      <c r="B108" s="2" t="str">
        <f>IF(TYPE(S108)=16,"",S108)</f>
        <v>R0003</v>
      </c>
      <c r="D108" s="2" t="str">
        <f>IF(TYPE(S109)=16,"",S109)</f>
        <v>K0033</v>
      </c>
      <c r="F108" s="2" t="str">
        <f>IF(A108=0,IF(AND(LEN(B108)&gt;0,LEN(D108)=0),VLOOKUP(B108,'[1]zawodnicy'!$A:$E,1,FALSE),IF(AND(LEN(D108)&gt;0,LEN(B108)=0),VLOOKUP(D108,'[1]zawodnicy'!$A:$E,1,FALSE),"")),IF((VLOOKUP(A108,'[1]plan gier'!$X:$AF,7,FALSE))="","",VLOOKUP(VLOOKUP(A108,'[1]plan gier'!$X:$AF,7,FALSE),'[1]zawodnicy'!$A:$E,1,FALSE)))</f>
        <v>K0033</v>
      </c>
      <c r="H108" s="2" t="str">
        <f>IF(A108=0,"",IF((VLOOKUP(A108,'[1]plan gier'!$X:$AF,7,FALSE))="","",VLOOKUP(A108,'[1]plan gier'!$X:$AF,9,FALSE)))</f>
        <v>21:14,21:15</v>
      </c>
      <c r="J108" s="123"/>
      <c r="L108" s="42" t="str">
        <f>IF(A108=0,"",IF(VLOOKUP(A108,'[1]plan gier'!A:S,19,FALSE)="","",VLOOKUP(A108,'[1]plan gier'!A:S,19,FALSE)))</f>
        <v>godz.11:00</v>
      </c>
      <c r="M108" s="2" t="str">
        <f>N83</f>
        <v>Runners Up</v>
      </c>
      <c r="N108" s="124"/>
      <c r="O108" s="125"/>
      <c r="P108" s="124"/>
      <c r="Q108" s="19" t="s">
        <v>50</v>
      </c>
      <c r="S108" s="313" t="str">
        <f>UPPER(IF(N83="","",IF(TYPE(VLOOKUP(2&amp;1&amp;N83,I:J,2,FALSE))=2,VLOOKUP(2&amp;1&amp;N83,I:J,2,FALSE),"")))</f>
        <v>R0003</v>
      </c>
      <c r="T108" s="314"/>
      <c r="U108" s="131" t="str">
        <f>IF(S108&lt;&gt;"",CONCATENATE(VLOOKUP(S108,'[1]zawodnicy'!$A:$E,2,FALSE)," ",VLOOKUP(S108,'[1]zawodnicy'!$A:$E,3,FALSE)," - ",VLOOKUP(S108,'[1]zawodnicy'!$A:$E,4,FALSE)),"")</f>
        <v>Dawid RZĄSA - Nowa Dęba</v>
      </c>
      <c r="V108" s="132">
        <v>28</v>
      </c>
      <c r="W108" s="308" t="str">
        <f>IF(ISBLANK(V108),IF(AND(LEN(S108)&gt;0,LEN(S109)=0),VLOOKUP(S108,'[1]zawodnicy'!$A:$E,3,FALSE),IF(AND(LEN(S109)&gt;0,LEN(S108)=0),VLOOKUP(S109,'[1]zawodnicy'!$A:$E,3,FALSE),"")),IF((VLOOKUP(V108,'[1]plan gier'!$X:$AF,7,FALSE))="","",VLOOKUP(VLOOKUP(V108,'[1]plan gier'!$X:$AF,7,FALSE),'[1]zawodnicy'!$A:$E,3,FALSE)))</f>
        <v>KAMIŃSKI</v>
      </c>
      <c r="X108" s="309"/>
      <c r="Y108" s="309"/>
      <c r="Z108" s="9"/>
      <c r="AA108" s="9"/>
      <c r="AB108" s="133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</row>
    <row r="109" spans="10:63" ht="11.25" customHeight="1">
      <c r="J109" s="123"/>
      <c r="N109" s="124"/>
      <c r="O109" s="125"/>
      <c r="P109" s="124"/>
      <c r="Q109" s="19" t="s">
        <v>51</v>
      </c>
      <c r="S109" s="313" t="str">
        <f>UPPER(IF(N83="","",IF(TYPE(VLOOKUP(1&amp;4&amp;N83,I:J,2,FALSE))=2,VLOOKUP(1&amp;4&amp;N83,I:J,2,FALSE),"")))</f>
        <v>K0033</v>
      </c>
      <c r="T109" s="314"/>
      <c r="U109" s="131" t="str">
        <f>IF(S109&lt;&gt;"",CONCATENATE(VLOOKUP(S109,'[1]zawodnicy'!$A:$E,2,FALSE)," ",VLOOKUP(S109,'[1]zawodnicy'!$A:$E,3,FALSE)," - ",VLOOKUP(S109,'[1]zawodnicy'!$A:$E,4,FALSE)),"")</f>
        <v>Marek KAMIŃSKI - Nowa Dęba</v>
      </c>
      <c r="V109" s="134"/>
      <c r="W109" s="310" t="str">
        <f>IF(ISBLANK(V108),"",IF((VLOOKUP(V108,'[1]plan gier'!$X:$AF,7,FALSE))="",L108,VLOOKUP(V108,'[1]plan gier'!$X:$AF,9,FALSE)))</f>
        <v>21:14,21:15</v>
      </c>
      <c r="X109" s="311"/>
      <c r="Y109" s="312"/>
      <c r="Z109" s="9"/>
      <c r="AA109" s="9"/>
      <c r="AB109" s="133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</row>
    <row r="110" spans="1:63" ht="11.25" customHeight="1">
      <c r="A110" s="126">
        <f>Y110</f>
        <v>32</v>
      </c>
      <c r="B110" s="2" t="str">
        <f>F108</f>
        <v>K0033</v>
      </c>
      <c r="D110" s="2" t="str">
        <f>F112</f>
        <v>B0009</v>
      </c>
      <c r="F110" s="2" t="str">
        <f>IF(A110=0,IF(AND(LEN(B110)&gt;0,LEN(D110)=0),B110,IF(AND(LEN(D110)&gt;0,LEN(B110)=0),D110,"")),IF((VLOOKUP(A110,'[1]plan gier'!$X:$AF,7,FALSE))="","",VLOOKUP(VLOOKUP(A110,'[1]plan gier'!$X:$AF,7,FALSE),'[1]zawodnicy'!$A:$E,1,FALSE)))</f>
        <v>K0033</v>
      </c>
      <c r="H110" s="2" t="str">
        <f>IF(A110=0,"",IF((VLOOKUP(A110,'[1]plan gier'!$X:$AF,7,FALSE))="","",VLOOKUP(A110,'[1]plan gier'!$X:$AF,9,FALSE)))</f>
        <v>21:12,21:9</v>
      </c>
      <c r="J110" s="123"/>
      <c r="L110" s="42" t="str">
        <f>IF(A110=0,"",IF(VLOOKUP(A110,'[1]plan gier'!A:S,19,FALSE)="","",VLOOKUP(A110,'[1]plan gier'!A:S,19,FALSE)))</f>
        <v>godz.11:20</v>
      </c>
      <c r="M110" s="2" t="str">
        <f>N83</f>
        <v>Runners Up</v>
      </c>
      <c r="N110" s="124"/>
      <c r="O110" s="125"/>
      <c r="P110" s="124"/>
      <c r="S110" s="8"/>
      <c r="T110" s="127"/>
      <c r="U110" s="2"/>
      <c r="V110" s="2"/>
      <c r="W110" s="128"/>
      <c r="X110" s="9"/>
      <c r="Y110" s="129">
        <v>32</v>
      </c>
      <c r="Z110" s="309" t="str">
        <f>IF(ISBLANK(Y110),IF(AND(LEN(W108)&gt;0,LEN(W112)=0),W108,IF(AND(LEN(W112)&gt;0,LEN(W108)=0),W112,"")),IF((VLOOKUP(Y110,'[1]plan gier'!$X:$AF,7,FALSE))="","",VLOOKUP(VLOOKUP(Y110,'[1]plan gier'!$X:$AF,7,FALSE),'[1]zawodnicy'!$A:$E,3,FALSE)))</f>
        <v>KAMIŃSKI</v>
      </c>
      <c r="AA110" s="309"/>
      <c r="AB110" s="315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</row>
    <row r="111" spans="10:63" ht="11.25" customHeight="1">
      <c r="J111" s="123"/>
      <c r="N111" s="124"/>
      <c r="O111" s="125"/>
      <c r="P111" s="124"/>
      <c r="S111" s="8"/>
      <c r="T111" s="127"/>
      <c r="U111" s="2"/>
      <c r="V111" s="2"/>
      <c r="W111" s="128"/>
      <c r="X111" s="9"/>
      <c r="Y111" s="130"/>
      <c r="Z111" s="317" t="str">
        <f>IF(ISBLANK(Y110),"",IF((VLOOKUP(Y110,'[1]plan gier'!$X:$AF,7,FALSE))="",L110,VLOOKUP(Y110,'[1]plan gier'!$X:$AF,9,FALSE)))</f>
        <v>21:12,21:9</v>
      </c>
      <c r="AA111" s="317"/>
      <c r="AB111" s="317"/>
      <c r="AC111" s="138"/>
      <c r="AD111" s="138"/>
      <c r="AE111" s="138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</row>
    <row r="112" spans="1:63" ht="11.25" customHeight="1">
      <c r="A112" s="122">
        <f>V112</f>
        <v>0</v>
      </c>
      <c r="B112" s="2" t="str">
        <f>IF(TYPE(S112)=16,"",S112)</f>
        <v>B0009</v>
      </c>
      <c r="F112" s="2" t="str">
        <f>IF(A112=0,IF(AND(LEN(B112)&gt;0,LEN(D112)=0),VLOOKUP(B112,'[1]zawodnicy'!$A:$E,1,FALSE),IF(AND(LEN(D112)&gt;0,LEN(B112)=0),VLOOKUP(D112,'[1]zawodnicy'!$A:$E,1,FALSE),"")),IF((VLOOKUP(A112,'[1]plan gier'!$X:$AF,7,FALSE))="","",VLOOKUP(VLOOKUP(A112,'[1]plan gier'!$X:$AF,7,FALSE),'[1]zawodnicy'!$A:$E,1,FALSE)))</f>
        <v>B0009</v>
      </c>
      <c r="H112" s="2">
        <f>IF(A112=0,"",IF((VLOOKUP(A112,'[1]plan gier'!$X:$AF,7,FALSE))="","",VLOOKUP(A112,'[1]plan gier'!$X:$AF,9,FALSE)))</f>
      </c>
      <c r="J112" s="123"/>
      <c r="L112" s="42">
        <f>IF(A112=0,"",IF(VLOOKUP(A112,'[1]plan gier'!A:S,19,FALSE)="","",VLOOKUP(A112,'[1]plan gier'!A:S,19,FALSE)))</f>
      </c>
      <c r="M112" s="2" t="str">
        <f>N83</f>
        <v>Runners Up</v>
      </c>
      <c r="N112" s="124"/>
      <c r="O112" s="125"/>
      <c r="P112" s="124"/>
      <c r="Q112" s="300" t="s">
        <v>52</v>
      </c>
      <c r="R112" s="301"/>
      <c r="S112" s="302" t="str">
        <f>UPPER(IF(N83="","",IF(TYPE(VLOOKUP(1&amp;6&amp;N83,I:J,2,FALSE))=2,VLOOKUP(1&amp;6&amp;N83,I:J,2,FALSE),"")))</f>
        <v>B0009</v>
      </c>
      <c r="T112" s="303"/>
      <c r="U112" s="303" t="str">
        <f>IF(S112&lt;&gt;"",CONCATENATE(VLOOKUP(S112,'[1]zawodnicy'!$A:$E,2,FALSE)," ",VLOOKUP(S112,'[1]zawodnicy'!$A:$E,3,FALSE)," - ",VLOOKUP(S112,'[1]zawodnicy'!$A:$E,4,FALSE)),"")</f>
        <v>Adam BUNIO - Nowa Dęba</v>
      </c>
      <c r="V112" s="306"/>
      <c r="W112" s="308" t="str">
        <f>IF(ISBLANK(V112),IF(AND(LEN(S112)&gt;0,LEN(S113)=0),VLOOKUP(S112,'[1]zawodnicy'!$A:$E,3,FALSE),IF(AND(LEN(S113)&gt;0,LEN(S112)=0),VLOOKUP(S113,'[1]zawodnicy'!$A:$E,3,FALSE),"")),IF((VLOOKUP(V112,'[1]plan gier'!$X:$AF,7,FALSE))="","",VLOOKUP(VLOOKUP(V112,'[1]plan gier'!$X:$AF,7,FALSE),'[1]zawodnicy'!$A:$E,3,FALSE)))</f>
        <v>BUNIO</v>
      </c>
      <c r="X112" s="309"/>
      <c r="Y112" s="315"/>
      <c r="Z112" s="2"/>
      <c r="AA112" s="139"/>
      <c r="AB112" s="139"/>
      <c r="AC112" s="139"/>
      <c r="AD112" s="139"/>
      <c r="AE112" s="139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</row>
    <row r="113" spans="10:63" ht="11.25" customHeight="1">
      <c r="J113" s="123"/>
      <c r="N113" s="124"/>
      <c r="O113" s="125"/>
      <c r="P113" s="124"/>
      <c r="Q113" s="300"/>
      <c r="R113" s="301"/>
      <c r="S113" s="304"/>
      <c r="T113" s="305"/>
      <c r="U113" s="305"/>
      <c r="V113" s="307"/>
      <c r="W113" s="316"/>
      <c r="X113" s="317"/>
      <c r="Y113" s="317"/>
      <c r="Z113" s="2"/>
      <c r="AA113" s="140"/>
      <c r="AB113" s="140"/>
      <c r="AC113" s="140"/>
      <c r="AD113" s="140"/>
      <c r="AE113" s="140"/>
      <c r="AF113" s="12"/>
      <c r="AG113" s="141"/>
      <c r="AH113" s="141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</row>
    <row r="114" ht="11.25" customHeight="1"/>
    <row r="115" ht="11.25" customHeight="1"/>
    <row r="116" ht="11.25" customHeight="1">
      <c r="U116" s="19" t="s">
        <v>53</v>
      </c>
    </row>
    <row r="117" ht="11.25" customHeight="1"/>
    <row r="118" spans="10:63" ht="11.25" customHeight="1">
      <c r="J118" s="2"/>
      <c r="K118" s="2"/>
      <c r="L118" s="2"/>
      <c r="M118" s="142"/>
      <c r="N118" s="143" t="str">
        <f>M120</f>
        <v>Runners Up</v>
      </c>
      <c r="O118" s="119"/>
      <c r="P118" s="119"/>
      <c r="Q118" s="1"/>
      <c r="R118" s="1"/>
      <c r="S118" s="317" t="s">
        <v>54</v>
      </c>
      <c r="T118" s="317"/>
      <c r="U118" s="317"/>
      <c r="V118" s="317"/>
      <c r="W118" s="317" t="s">
        <v>55</v>
      </c>
      <c r="X118" s="317"/>
      <c r="Y118" s="317"/>
      <c r="Z118" s="317"/>
      <c r="AA118" s="317"/>
      <c r="AB118" s="317"/>
      <c r="AC118" s="128"/>
      <c r="AD118" s="128"/>
      <c r="AE118" s="128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</row>
    <row r="119" spans="10:63" ht="11.25" customHeight="1">
      <c r="J119" s="2"/>
      <c r="K119" s="2"/>
      <c r="L119" s="2"/>
      <c r="N119" s="143" t="s">
        <v>56</v>
      </c>
      <c r="P119" s="119"/>
      <c r="Q119" s="1"/>
      <c r="R119" s="1"/>
      <c r="S119" s="1"/>
      <c r="T119" s="120"/>
      <c r="U119" s="121"/>
      <c r="V119" s="121"/>
      <c r="W119" s="121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</row>
    <row r="120" spans="1:63" ht="11.25" customHeight="1">
      <c r="A120" s="122">
        <f>V120</f>
        <v>35</v>
      </c>
      <c r="B120" s="2" t="str">
        <f>IF(S120="","",S120)</f>
        <v>M0012</v>
      </c>
      <c r="D120" s="2" t="str">
        <f>IF(S121="","",S121)</f>
        <v>W0010</v>
      </c>
      <c r="F120" s="2" t="str">
        <f>IF(A120=0,IF(AND(LEN(B120)&gt;0,LEN(D120)=0),VLOOKUP(B120,'[1]zawodnicy'!$A:$E,1,FALSE),IF(AND(LEN(D120)&gt;0,LEN(B120)=0),VLOOKUP(D120,'[1]zawodnicy'!$A:$E,1,FALSE),"")),IF((VLOOKUP(A120,'[1]plan gier'!$X:$AF,7,FALSE))="","",VLOOKUP(VLOOKUP(A120,'[1]plan gier'!$X:$AF,7,FALSE),'[1]zawodnicy'!$A:$E,1,FALSE)))</f>
        <v>M0012</v>
      </c>
      <c r="H120" s="2" t="str">
        <f>IF(A120=0,"",IF((VLOOKUP(A120,'[1]plan gier'!$X:$AF,7,FALSE))="","",VLOOKUP(A120,'[1]plan gier'!$X:$AF,9,FALSE)))</f>
        <v>23:21,17:21,21:9</v>
      </c>
      <c r="J120" s="123"/>
      <c r="K120" s="123"/>
      <c r="L120" s="144" t="str">
        <f>IF(A120=0,"",IF(VLOOKUP(A120,'[1]plan gier'!A:S,19,FALSE)="","",VLOOKUP(A120,'[1]plan gier'!A:S,19,FALSE)))</f>
        <v>godz.11:40</v>
      </c>
      <c r="M120" s="2" t="str">
        <f>IF(N120="","",VLOOKUP(N120,A:M,13,FALSE))</f>
        <v>Runners Up</v>
      </c>
      <c r="N120" s="145">
        <v>33</v>
      </c>
      <c r="O120" s="146"/>
      <c r="P120" s="124"/>
      <c r="S120" s="313" t="str">
        <f>IF(N120="","",IF(LEN(VLOOKUP(N120,A:M,6,FALSE))=0,"",IF(VLOOKUP(N120,A:M,6,FALSE)=VLOOKUP(N120,A:M,2,FALSE),VLOOKUP(N120,A:M,4,FALSE),VLOOKUP(N120,A:M,2,FALSE))))</f>
        <v>M0012</v>
      </c>
      <c r="T120" s="314"/>
      <c r="U120" s="131" t="str">
        <f>IF(S120&lt;&gt;"",CONCATENATE(VLOOKUP(S120,'[1]zawodnicy'!$A:$E,2,FALSE)," ",VLOOKUP(S120,'[1]zawodnicy'!$A:$E,3,FALSE)," - ",VLOOKUP(S120,'[1]zawodnicy'!$A:$E,4,FALSE)),"")</f>
        <v>Jarosław MAZUR - Mielec</v>
      </c>
      <c r="V120" s="132">
        <v>35</v>
      </c>
      <c r="W120" s="308" t="str">
        <f>IF(F120="","",VLOOKUP(F120,'[1]zawodnicy'!$A:$D,3,FALSE))</f>
        <v>MAZUR</v>
      </c>
      <c r="X120" s="309"/>
      <c r="Y120" s="309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</row>
    <row r="121" spans="10:63" ht="11.25" customHeight="1">
      <c r="J121" s="123"/>
      <c r="K121" s="123"/>
      <c r="L121" s="123"/>
      <c r="N121" s="145">
        <v>34</v>
      </c>
      <c r="O121" s="146"/>
      <c r="P121" s="124"/>
      <c r="S121" s="313" t="str">
        <f>IF(N121="","",IF(LEN(VLOOKUP(N121,A:M,6,FALSE))=0,"",IF(VLOOKUP(N121,A:M,6,FALSE)=VLOOKUP(N121,A:M,2,FALSE),VLOOKUP(N121,A:M,4,FALSE),VLOOKUP(N121,A:M,2,FALSE))))</f>
        <v>W0010</v>
      </c>
      <c r="T121" s="314"/>
      <c r="U121" s="131" t="str">
        <f>IF(S121&lt;&gt;"",CONCATENATE(VLOOKUP(S121,'[1]zawodnicy'!$A:$E,2,FALSE)," ",VLOOKUP(S121,'[1]zawodnicy'!$A:$E,3,FALSE)," - ",VLOOKUP(S121,'[1]zawodnicy'!$A:$E,4,FALSE)),"")</f>
        <v>Dariusz WALAS - Rzeszów</v>
      </c>
      <c r="V121" s="134"/>
      <c r="W121" s="310" t="str">
        <f>IF(H120="",L120,H120)</f>
        <v>23:21,17:21,21:9</v>
      </c>
      <c r="X121" s="311"/>
      <c r="Y121" s="311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</row>
    <row r="122" ht="11.25" customHeight="1"/>
    <row r="123" ht="11.25" customHeight="1" hidden="1"/>
    <row r="124" ht="11.25" customHeight="1" hidden="1"/>
    <row r="125" ht="11.25" customHeight="1" hidden="1"/>
    <row r="126" ht="11.25" customHeight="1" hidden="1"/>
    <row r="127" ht="11.25" customHeight="1" hidden="1"/>
    <row r="128" ht="11.25" customHeight="1" hidden="1"/>
    <row r="129" ht="11.25" customHeight="1"/>
    <row r="130" spans="13:31" ht="11.25" customHeight="1">
      <c r="M130" s="15"/>
      <c r="N130" s="16" t="s">
        <v>57</v>
      </c>
      <c r="Q130" s="252" t="str">
        <f>"Gra "&amp;N130</f>
        <v>Gra Old Boys</v>
      </c>
      <c r="R130" s="252"/>
      <c r="S130" s="252"/>
      <c r="T130" s="252"/>
      <c r="U130" s="252"/>
      <c r="V130" s="252"/>
      <c r="W130" s="252"/>
      <c r="X130" s="252"/>
      <c r="Y130" s="252"/>
      <c r="Z130" s="252"/>
      <c r="AA130" s="252"/>
      <c r="AB130" s="252"/>
      <c r="AC130" s="252"/>
      <c r="AD130" s="252"/>
      <c r="AE130" s="252"/>
    </row>
    <row r="131" ht="11.25" customHeight="1" thickBot="1"/>
    <row r="132" spans="14:31" s="17" customFormat="1" ht="11.25" customHeight="1" thickBot="1">
      <c r="N132" s="147"/>
      <c r="O132" s="148"/>
      <c r="P132" s="148"/>
      <c r="Q132" s="259" t="s">
        <v>9</v>
      </c>
      <c r="R132" s="259"/>
      <c r="S132" s="260" t="s">
        <v>10</v>
      </c>
      <c r="T132" s="149"/>
      <c r="U132" s="254" t="s">
        <v>2</v>
      </c>
      <c r="V132" s="255"/>
      <c r="W132" s="150">
        <v>1</v>
      </c>
      <c r="X132" s="151">
        <v>2</v>
      </c>
      <c r="Y132" s="152">
        <v>3</v>
      </c>
      <c r="Z132" s="153">
        <v>4</v>
      </c>
      <c r="AA132" s="154">
        <v>5</v>
      </c>
      <c r="AB132" s="96" t="s">
        <v>3</v>
      </c>
      <c r="AC132" s="28" t="s">
        <v>4</v>
      </c>
      <c r="AD132" s="27" t="s">
        <v>5</v>
      </c>
      <c r="AE132" s="97" t="s">
        <v>6</v>
      </c>
    </row>
    <row r="133" spans="10:32" s="17" customFormat="1" ht="11.25" customHeight="1">
      <c r="J133" s="36"/>
      <c r="K133" s="36"/>
      <c r="L133" s="36"/>
      <c r="N133" s="30" t="s">
        <v>57</v>
      </c>
      <c r="O133" s="10"/>
      <c r="P133" s="36"/>
      <c r="Q133" s="259"/>
      <c r="R133" s="259"/>
      <c r="S133" s="260"/>
      <c r="T133" s="281">
        <v>1</v>
      </c>
      <c r="U133" s="282">
        <f>IF(AND(N134&lt;&gt;"",N135&lt;&gt;""),CONCATENATE(VLOOKUP(N134,'[1]zawodnicy'!$A:$E,1,FALSE)," ",VLOOKUP(N134,'[1]zawodnicy'!$A:$E,2,FALSE)," ",VLOOKUP(N134,'[1]zawodnicy'!$A:$E,3,FALSE)," - ",VLOOKUP(N134,'[1]zawodnicy'!$A:$E,4,FALSE)),"")</f>
      </c>
      <c r="V133" s="319"/>
      <c r="W133" s="320"/>
      <c r="X133" s="99" t="str">
        <f>IF(SUM(AO145:AP145)=0,"",AO145&amp;":"&amp;AP145)</f>
        <v>21:6</v>
      </c>
      <c r="Y133" s="155" t="str">
        <f>IF(SUM(AO138:AP138)=0,"",AO138&amp;":"&amp;AP138)</f>
        <v>21:14</v>
      </c>
      <c r="Z133" s="155" t="str">
        <f>IF(SUM(AO142:AP142)=0,"",AP142&amp;":"&amp;AO142)</f>
        <v>21:7</v>
      </c>
      <c r="AA133" s="156" t="str">
        <f>IF(SUM(AO141:AP141)=0,"",AP141&amp;":"&amp;AO141)</f>
        <v>21:3</v>
      </c>
      <c r="AB133" s="323" t="str">
        <f>IF(SUM(AX136:BE136)=0,"",BF136&amp;":"&amp;BG136)</f>
        <v>168:76</v>
      </c>
      <c r="AC133" s="289" t="str">
        <f>IF(SUM(AX136:BE136)=0,"",BH136&amp;":"&amp;BI136)</f>
        <v>8:0</v>
      </c>
      <c r="AD133" s="289" t="str">
        <f>IF(SUM(AX136:BE136)=0,"",BJ136&amp;":"&amp;BK136)</f>
        <v>4:0</v>
      </c>
      <c r="AE133" s="291">
        <f>IF(SUM(BJ136:BJ140)&gt;0,BL136,"")</f>
        <v>1</v>
      </c>
      <c r="AF133" s="157"/>
    </row>
    <row r="134" spans="14:32" s="17" customFormat="1" ht="11.25" customHeight="1" thickBot="1">
      <c r="N134" s="34" t="s">
        <v>36</v>
      </c>
      <c r="O134" s="36"/>
      <c r="P134" s="36"/>
      <c r="Q134" s="259"/>
      <c r="R134" s="259"/>
      <c r="S134" s="260"/>
      <c r="T134" s="261"/>
      <c r="U134" s="263" t="str">
        <f>IF(AND(N134&lt;&gt;"",N135=""),CONCATENATE(VLOOKUP(N134,'[1]zawodnicy'!$A:$E,1,FALSE)," ",VLOOKUP(N134,'[1]zawodnicy'!$A:$E,2,FALSE)," ",VLOOKUP(N134,'[1]zawodnicy'!$A:$E,3,FALSE)," - ",VLOOKUP(N134,'[1]zawodnicy'!$A:$E,4,FALSE)),"")</f>
        <v>B0009 Adam BUNIO - Nowa Dęba</v>
      </c>
      <c r="V134" s="264"/>
      <c r="W134" s="321"/>
      <c r="X134" s="32" t="str">
        <f>IF(SUM(AQ145:AR145)=0,"",AQ145&amp;":"&amp;AR145)</f>
        <v>21:13</v>
      </c>
      <c r="Y134" s="158" t="str">
        <f>IF(SUM(AQ138:AR138)=0,"",AQ138&amp;":"&amp;AR138)</f>
        <v>21:17</v>
      </c>
      <c r="Z134" s="158" t="str">
        <f>IF(SUM(AQ142:AR142)=0,"",AR142&amp;":"&amp;AQ142)</f>
        <v>21:9</v>
      </c>
      <c r="AA134" s="159" t="str">
        <f>IF(SUM(AQ141:AR141)=0,"",AR141&amp;":"&amp;AQ141)</f>
        <v>21:7</v>
      </c>
      <c r="AB134" s="324"/>
      <c r="AC134" s="265"/>
      <c r="AD134" s="265"/>
      <c r="AE134" s="266"/>
      <c r="AF134" s="157"/>
    </row>
    <row r="135" spans="10:64" s="17" customFormat="1" ht="11.25" customHeight="1" thickBot="1">
      <c r="J135" s="36"/>
      <c r="K135" s="36"/>
      <c r="L135" s="36"/>
      <c r="N135" s="37"/>
      <c r="O135" s="36"/>
      <c r="P135" s="36"/>
      <c r="T135" s="262"/>
      <c r="U135" s="267">
        <f>IF(N135&lt;&gt;"",CONCATENATE(VLOOKUP(N135,'[1]zawodnicy'!$A:$E,1,FALSE)," ",VLOOKUP(N135,'[1]zawodnicy'!$A:$E,2,FALSE)," ",VLOOKUP(N135,'[1]zawodnicy'!$A:$E,3,FALSE)," - ",VLOOKUP(N135,'[1]zawodnicy'!$A:$E,4,FALSE)),"")</f>
      </c>
      <c r="V135" s="268"/>
      <c r="W135" s="322"/>
      <c r="X135" s="38">
        <f>IF(SUM(AS145:AT145)=0,"",AS145&amp;":"&amp;AT145)</f>
      </c>
      <c r="Y135" s="160">
        <f>IF(SUM(AS138:AT138)=0,"",AS138&amp;":"&amp;AT138)</f>
      </c>
      <c r="Z135" s="160">
        <f>IF(SUM(AS142:AT142)=0,"",AT142&amp;":"&amp;AS142)</f>
      </c>
      <c r="AA135" s="161">
        <f>IF(SUM(AS141:AT141)=0,"",AT141&amp;":"&amp;AS141)</f>
      </c>
      <c r="AB135" s="325"/>
      <c r="AC135" s="290"/>
      <c r="AD135" s="290"/>
      <c r="AE135" s="292"/>
      <c r="AF135" s="157"/>
      <c r="AG135" s="157"/>
      <c r="AH135" s="337" t="s">
        <v>12</v>
      </c>
      <c r="AI135" s="338"/>
      <c r="AJ135" s="339" t="s">
        <v>13</v>
      </c>
      <c r="AK135" s="338"/>
      <c r="AL135" s="339" t="s">
        <v>14</v>
      </c>
      <c r="AM135" s="340"/>
      <c r="AN135" s="157"/>
      <c r="AO135" s="334" t="s">
        <v>12</v>
      </c>
      <c r="AP135" s="335"/>
      <c r="AQ135" s="335" t="s">
        <v>13</v>
      </c>
      <c r="AR135" s="335"/>
      <c r="AS135" s="335" t="s">
        <v>14</v>
      </c>
      <c r="AT135" s="336"/>
      <c r="AU135" s="157"/>
      <c r="AV135" s="328">
        <v>1</v>
      </c>
      <c r="AW135" s="326"/>
      <c r="AX135" s="326">
        <v>2</v>
      </c>
      <c r="AY135" s="326"/>
      <c r="AZ135" s="326">
        <v>3</v>
      </c>
      <c r="BA135" s="326"/>
      <c r="BB135" s="326">
        <v>4</v>
      </c>
      <c r="BC135" s="327"/>
      <c r="BD135" s="257">
        <v>5</v>
      </c>
      <c r="BE135" s="273"/>
      <c r="BF135" s="328" t="s">
        <v>3</v>
      </c>
      <c r="BG135" s="329"/>
      <c r="BH135" s="328" t="s">
        <v>4</v>
      </c>
      <c r="BI135" s="329"/>
      <c r="BJ135" s="328" t="s">
        <v>5</v>
      </c>
      <c r="BK135" s="327"/>
      <c r="BL135" s="162" t="s">
        <v>6</v>
      </c>
    </row>
    <row r="136" spans="1:71" s="17" customFormat="1" ht="11.25" customHeight="1">
      <c r="A136" s="17">
        <f aca="true" t="shared" si="12" ref="A136:A145">S136</f>
        <v>37</v>
      </c>
      <c r="B136" s="17" t="str">
        <f>IF(N137="","",N137)</f>
        <v>M0008</v>
      </c>
      <c r="C136" s="17">
        <f>IF(N138="","",N138)</f>
      </c>
      <c r="D136" s="17" t="str">
        <f>IF(N146="","",N146)</f>
        <v>M0009</v>
      </c>
      <c r="E136" s="17">
        <f>IF(N147="","",N147)</f>
      </c>
      <c r="J136" s="36"/>
      <c r="K136" s="36"/>
      <c r="M136" s="17" t="str">
        <f>N133</f>
        <v>Old Boys</v>
      </c>
      <c r="N136" s="13"/>
      <c r="O136" s="36"/>
      <c r="P136" s="36"/>
      <c r="Q136" s="42">
        <f>IF(AN136&gt;0,"",IF(A136=0,"",IF(VLOOKUP(A136,'[1]plan gier'!A:S,19,FALSE)="","",VLOOKUP(A136,'[1]plan gier'!A:S,19,FALSE))))</f>
      </c>
      <c r="R136" s="163" t="s">
        <v>58</v>
      </c>
      <c r="S136" s="90">
        <v>37</v>
      </c>
      <c r="T136" s="269">
        <v>2</v>
      </c>
      <c r="U136" s="270">
        <f>IF(AND(N137&lt;&gt;"",N138&lt;&gt;""),CONCATENATE(VLOOKUP(N137,'[1]zawodnicy'!$A:$E,1,FALSE)," ",VLOOKUP(N137,'[1]zawodnicy'!$A:$E,2,FALSE)," ",VLOOKUP(N137,'[1]zawodnicy'!$A:$E,3,FALSE)," - ",VLOOKUP(N137,'[1]zawodnicy'!$A:$E,4,FALSE)),"")</f>
      </c>
      <c r="V136" s="271"/>
      <c r="W136" s="164" t="str">
        <f>IF(SUM(AO145:AP145)=0,"",AP145&amp;":"&amp;AO145)</f>
        <v>6:21</v>
      </c>
      <c r="X136" s="330"/>
      <c r="Y136" s="165" t="str">
        <f>IF(SUM(AO143:AP143)=0,"",AO143&amp;":"&amp;AP143)</f>
        <v>12:21</v>
      </c>
      <c r="Z136" s="165" t="str">
        <f>IF(SUM(AO140:AP140)=0,"",AP140&amp;":"&amp;AO140)</f>
        <v>21:18</v>
      </c>
      <c r="AA136" s="166" t="str">
        <f>IF(SUM(AO136:AP136)=0,"",AO136&amp;":"&amp;AP136)</f>
        <v>21:8</v>
      </c>
      <c r="AB136" s="333" t="str">
        <f>IF(SUM(AV137:AW137,AZ137:BE137)=0,"",BF137&amp;":"&amp;BG137)</f>
        <v>147:161</v>
      </c>
      <c r="AC136" s="272" t="str">
        <f>IF(SUM(AV137:AW137,AZ137:BE137)=0,"",BH137&amp;":"&amp;BI137)</f>
        <v>4:5</v>
      </c>
      <c r="AD136" s="272" t="str">
        <f>IF(SUM(AV137:AW137,AZ137:BE137)=0,"",BJ137&amp;":"&amp;BK137)</f>
        <v>2:2</v>
      </c>
      <c r="AE136" s="275">
        <f>IF(SUM(BJ136:BJ140)&gt;0,BL137,"")</f>
        <v>3</v>
      </c>
      <c r="AF136" s="157"/>
      <c r="AG136" s="167" t="s">
        <v>58</v>
      </c>
      <c r="AH136" s="168">
        <f>IF(ISBLANK(S136),"",VLOOKUP(S136,'[1]plan gier'!$X:$AN,12,FALSE))</f>
        <v>21</v>
      </c>
      <c r="AI136" s="169">
        <f>IF(ISBLANK(S136),"",VLOOKUP(S136,'[1]plan gier'!$X:$AN,13,FALSE))</f>
        <v>8</v>
      </c>
      <c r="AJ136" s="169">
        <f>IF(ISBLANK(S136),"",VLOOKUP(S136,'[1]plan gier'!$X:$AN,14,FALSE))</f>
        <v>21</v>
      </c>
      <c r="AK136" s="169">
        <f>IF(ISBLANK(S136),"",VLOOKUP(S136,'[1]plan gier'!$X:$AN,15,FALSE))</f>
        <v>8</v>
      </c>
      <c r="AL136" s="169">
        <f>IF(ISBLANK(S136),"",VLOOKUP(S136,'[1]plan gier'!$X:$AN,16,FALSE))</f>
        <v>0</v>
      </c>
      <c r="AM136" s="170">
        <f>IF(ISBLANK(S136),"",VLOOKUP(S136,'[1]plan gier'!$X:$AN,17,FALSE))</f>
        <v>0</v>
      </c>
      <c r="AN136" s="171">
        <f aca="true" t="shared" si="13" ref="AN136:AN145">SUM(AO136:AT136)</f>
        <v>58</v>
      </c>
      <c r="AO136" s="172">
        <f aca="true" t="shared" si="14" ref="AO136:AT145">IF(AH136="",0,AH136)</f>
        <v>21</v>
      </c>
      <c r="AP136" s="169">
        <f t="shared" si="14"/>
        <v>8</v>
      </c>
      <c r="AQ136" s="173">
        <f t="shared" si="14"/>
        <v>21</v>
      </c>
      <c r="AR136" s="169">
        <f t="shared" si="14"/>
        <v>8</v>
      </c>
      <c r="AS136" s="173">
        <f t="shared" si="14"/>
        <v>0</v>
      </c>
      <c r="AT136" s="170">
        <f t="shared" si="14"/>
        <v>0</v>
      </c>
      <c r="AU136" s="174">
        <v>1</v>
      </c>
      <c r="AV136" s="341"/>
      <c r="AW136" s="342"/>
      <c r="AX136" s="175">
        <f>IF(AO145&gt;AP145,1,0)+IF(AQ145&gt;AR145,1,0)+IF(AS145&gt;AT145,1,0)</f>
        <v>2</v>
      </c>
      <c r="AY136" s="175">
        <f>AV137</f>
        <v>0</v>
      </c>
      <c r="AZ136" s="175">
        <f>IF(AO138&gt;AP138,1,0)+IF(AQ138&gt;AR138,1,0)+IF(AS138&gt;AT138,1,0)</f>
        <v>2</v>
      </c>
      <c r="BA136" s="169">
        <f>AV138</f>
        <v>0</v>
      </c>
      <c r="BB136" s="176">
        <f>IF(AP142&gt;AO142,1,0)+IF(AR142&gt;AQ142,1,0)+IF(AT142&gt;AS142,1,0)</f>
        <v>2</v>
      </c>
      <c r="BC136" s="177">
        <f>AV139</f>
        <v>0</v>
      </c>
      <c r="BD136" s="169">
        <f>IF(AP141&gt;AO141,1,0)+IF(AR141&gt;AQ141,1,0)+IF(AT141&gt;AS141,1,0)</f>
        <v>2</v>
      </c>
      <c r="BE136" s="170">
        <f>AV140</f>
        <v>0</v>
      </c>
      <c r="BF136" s="168">
        <f>AO138+AQ138+AS138+AP141+AR141+AT141++AP142+AR142+AT142+AO145+AQ145+AS145</f>
        <v>168</v>
      </c>
      <c r="BG136" s="178">
        <f>AP138+AR138+AT138+AO141+AQ141+AS141+AO142+AQ142+AS142+AP145+AR145+AT145</f>
        <v>76</v>
      </c>
      <c r="BH136" s="168">
        <f>AX136+AZ136+BB136+BD136</f>
        <v>8</v>
      </c>
      <c r="BI136" s="170">
        <f>AY136+BA136+BC136+BE136</f>
        <v>0</v>
      </c>
      <c r="BJ136" s="168">
        <f>IF(AX136&gt;AY136,1,0)+IF(AZ136&gt;BA136,1,0)+IF(BB136&gt;BC136,1,0)+IF(BD136&gt;BE136,1,0)</f>
        <v>4</v>
      </c>
      <c r="BK136" s="170">
        <f>IF(AY136&gt;AX136,1,0)+IF(BA136&gt;AZ136,1,0)+IF(BC136&gt;BB136,1,0)+IF(BE136&gt;BD136,1,0)</f>
        <v>0</v>
      </c>
      <c r="BL136" s="179">
        <f>IF(BJ136+BK136=0,"",IF(BM136=MAX(BM136:BM140),1,IF(BM136=LARGE(BM136:BM140,2),2,IF(BM136=LARGE(BM136:BM140,3),3,IF(BM136=MIN(BM136:BM140),5,4)))))</f>
        <v>1</v>
      </c>
      <c r="BM136" s="180">
        <f>IF(BJ136+BK136&lt;&gt;0,BJ136-BK136+(BH136-BI136)/100+(BF136-BG136)/10000,-4)</f>
        <v>4.0892</v>
      </c>
      <c r="BQ136" s="181"/>
      <c r="BR136" s="181"/>
      <c r="BS136" s="181"/>
    </row>
    <row r="137" spans="1:71" s="17" customFormat="1" ht="11.25" customHeight="1">
      <c r="A137" s="17">
        <f t="shared" si="12"/>
        <v>38</v>
      </c>
      <c r="B137" s="17" t="str">
        <f>IF(N140="","",N140)</f>
        <v>K0003</v>
      </c>
      <c r="C137" s="17">
        <f>IF(N141="","",N141)</f>
      </c>
      <c r="D137" s="17" t="str">
        <f>IF(N143="","",N143)</f>
        <v>K0007</v>
      </c>
      <c r="E137" s="17">
        <f>IF(N144="","",N144)</f>
      </c>
      <c r="M137" s="17" t="str">
        <f>N133</f>
        <v>Old Boys</v>
      </c>
      <c r="N137" s="34" t="s">
        <v>26</v>
      </c>
      <c r="O137" s="36"/>
      <c r="P137" s="36"/>
      <c r="Q137" s="42">
        <f>IF(AN137&gt;0,"",IF(A137=0,"",IF(VLOOKUP(A137,'[1]plan gier'!A:S,19,FALSE)="","",VLOOKUP(A137,'[1]plan gier'!A:S,19,FALSE))))</f>
      </c>
      <c r="R137" s="163" t="s">
        <v>21</v>
      </c>
      <c r="S137" s="90">
        <v>38</v>
      </c>
      <c r="T137" s="261"/>
      <c r="U137" s="263" t="str">
        <f>IF(AND(N137&lt;&gt;"",N138=""),CONCATENATE(VLOOKUP(N137,'[1]zawodnicy'!$A:$E,1,FALSE)," ",VLOOKUP(N137,'[1]zawodnicy'!$A:$E,2,FALSE)," ",VLOOKUP(N137,'[1]zawodnicy'!$A:$E,3,FALSE)," - ",VLOOKUP(N137,'[1]zawodnicy'!$A:$E,4,FALSE)),"")</f>
        <v>M0008 Tadeusz MICHALIK - Tarnów</v>
      </c>
      <c r="V137" s="264"/>
      <c r="W137" s="182" t="str">
        <f>IF(SUM(AQ145:AR145)=0,"",AR145&amp;":"&amp;AQ145)</f>
        <v>13:21</v>
      </c>
      <c r="X137" s="331"/>
      <c r="Y137" s="158" t="str">
        <f>IF(SUM(AQ143:AR143)=0,"",AQ143&amp;":"&amp;AR143)</f>
        <v>13:21</v>
      </c>
      <c r="Z137" s="158" t="str">
        <f>IF(SUM(AQ140:AR140)=0,"",AR140&amp;":"&amp;AQ140)</f>
        <v>16:21</v>
      </c>
      <c r="AA137" s="159" t="str">
        <f>IF(SUM(AQ136:AR136)=0,"",AQ136&amp;":"&amp;AR136)</f>
        <v>21:8</v>
      </c>
      <c r="AB137" s="324"/>
      <c r="AC137" s="265"/>
      <c r="AD137" s="265"/>
      <c r="AE137" s="266"/>
      <c r="AF137" s="157"/>
      <c r="AG137" s="167" t="s">
        <v>21</v>
      </c>
      <c r="AH137" s="183">
        <f>IF(ISBLANK(S137),"",VLOOKUP(S137,'[1]plan gier'!$X:$AN,12,FALSE))</f>
        <v>21</v>
      </c>
      <c r="AI137" s="184">
        <f>IF(ISBLANK(S137),"",VLOOKUP(S137,'[1]plan gier'!$X:$AN,13,FALSE))</f>
        <v>13</v>
      </c>
      <c r="AJ137" s="184">
        <f>IF(ISBLANK(S137),"",VLOOKUP(S137,'[1]plan gier'!$X:$AN,14,FALSE))</f>
        <v>21</v>
      </c>
      <c r="AK137" s="184">
        <f>IF(ISBLANK(S137),"",VLOOKUP(S137,'[1]plan gier'!$X:$AN,15,FALSE))</f>
        <v>17</v>
      </c>
      <c r="AL137" s="184">
        <f>IF(ISBLANK(S137),"",VLOOKUP(S137,'[1]plan gier'!$X:$AN,16,FALSE))</f>
        <v>0</v>
      </c>
      <c r="AM137" s="185">
        <f>IF(ISBLANK(S137),"",VLOOKUP(S137,'[1]plan gier'!$X:$AN,17,FALSE))</f>
        <v>0</v>
      </c>
      <c r="AN137" s="171">
        <f t="shared" si="13"/>
        <v>72</v>
      </c>
      <c r="AO137" s="186">
        <f t="shared" si="14"/>
        <v>21</v>
      </c>
      <c r="AP137" s="184">
        <f t="shared" si="14"/>
        <v>13</v>
      </c>
      <c r="AQ137" s="187">
        <f t="shared" si="14"/>
        <v>21</v>
      </c>
      <c r="AR137" s="184">
        <f t="shared" si="14"/>
        <v>17</v>
      </c>
      <c r="AS137" s="187">
        <f t="shared" si="14"/>
        <v>0</v>
      </c>
      <c r="AT137" s="185">
        <f t="shared" si="14"/>
        <v>0</v>
      </c>
      <c r="AU137" s="174">
        <v>2</v>
      </c>
      <c r="AV137" s="183">
        <f>IF(AO145&lt;AP145,1,0)+IF(AQ145&lt;AR145,1,0)+IF(AS145&lt;AT145,1,0)</f>
        <v>0</v>
      </c>
      <c r="AW137" s="184">
        <f>AX136</f>
        <v>2</v>
      </c>
      <c r="AX137" s="188"/>
      <c r="AY137" s="189"/>
      <c r="AZ137" s="184">
        <f>IF(AO143&gt;AP143,1,0)+IF(AQ143&gt;AR143,1,0)+IF(AS143&gt;AT143,1,0)</f>
        <v>0</v>
      </c>
      <c r="BA137" s="184">
        <f>AX138</f>
        <v>2</v>
      </c>
      <c r="BB137" s="190">
        <f>IF(AP140&gt;AO140,1,0)+IF(AR140&gt;AQ140,1,0)+IF(AT140&gt;AS140,1,0)</f>
        <v>2</v>
      </c>
      <c r="BC137" s="191">
        <f>AX139</f>
        <v>1</v>
      </c>
      <c r="BD137" s="184">
        <f>IF(AO136&gt;AP136,1,0)+IF(AQ136&gt;AR136,1,0)+IF(AS136&gt;AT136,1,0)</f>
        <v>2</v>
      </c>
      <c r="BE137" s="185">
        <f>AX140</f>
        <v>0</v>
      </c>
      <c r="BF137" s="183">
        <f>AO136+AQ136+AS136+AP140+AR140+AT140++AO143+AQ143+AS143++AP145+AR145+AT145</f>
        <v>147</v>
      </c>
      <c r="BG137" s="191">
        <f>AP136+AR136+AT136+AO140+AQ140+AS140+AP143+AR143+AT143+AO145+AQ145+AS145</f>
        <v>161</v>
      </c>
      <c r="BH137" s="183">
        <f>AV137+AZ137+BB137+BD137</f>
        <v>4</v>
      </c>
      <c r="BI137" s="185">
        <f>AW137+BA137+BC137+BE137</f>
        <v>5</v>
      </c>
      <c r="BJ137" s="183">
        <f>IF(AV137&gt;AW137,1,0)+IF(AZ137&gt;BA137,1,0)+IF(BB137&gt;BC137,1,0)+IF(BD137&gt;BE137,1,0)</f>
        <v>2</v>
      </c>
      <c r="BK137" s="185">
        <f>IF(AW137&gt;AV137,1,0)+IF(BA137&gt;AZ137,1,0)+IF(BC137&gt;BB137,1,0)+IF(BE137&gt;BD137,1,0)</f>
        <v>2</v>
      </c>
      <c r="BL137" s="192">
        <f>IF(BJ137+BK137=0,"",IF(BM137=MAX(BM136:BM140),1,IF(BM137=LARGE(BM136:BM140,2),2,IF(BM137=LARGE(BM136:BM140,3),3,IF(BM137=MIN(BM136:BM140),5,4)))))</f>
        <v>3</v>
      </c>
      <c r="BM137" s="180">
        <f>IF(BJ137+BK137&lt;&gt;0,BJ137-BK137+(BH137-BI137)/100+(BF137-BG137)/10000,-4)</f>
        <v>-0.0114</v>
      </c>
      <c r="BQ137" s="181"/>
      <c r="BR137" s="181"/>
      <c r="BS137" s="181"/>
    </row>
    <row r="138" spans="1:71" s="17" customFormat="1" ht="11.25" customHeight="1">
      <c r="A138" s="17">
        <f t="shared" si="12"/>
        <v>39</v>
      </c>
      <c r="B138" s="17" t="str">
        <f>IF(N134="","",N134)</f>
        <v>B0009</v>
      </c>
      <c r="C138" s="17">
        <f>IF(N135="","",N135)</f>
      </c>
      <c r="D138" s="17" t="str">
        <f>IF(N140="","",N140)</f>
        <v>K0003</v>
      </c>
      <c r="E138" s="17">
        <f>IF(N141="","",N141)</f>
      </c>
      <c r="J138" s="36"/>
      <c r="K138" s="36"/>
      <c r="M138" s="17" t="str">
        <f>N133</f>
        <v>Old Boys</v>
      </c>
      <c r="N138" s="37"/>
      <c r="O138" s="36"/>
      <c r="P138" s="36"/>
      <c r="Q138" s="42">
        <f>IF(AN138&gt;0,"",IF(A138=0,"",IF(VLOOKUP(A138,'[1]plan gier'!A:S,19,FALSE)="","",VLOOKUP(A138,'[1]plan gier'!A:S,19,FALSE))))</f>
      </c>
      <c r="R138" s="193" t="s">
        <v>15</v>
      </c>
      <c r="S138" s="90">
        <v>39</v>
      </c>
      <c r="T138" s="262"/>
      <c r="U138" s="267">
        <f>IF(N138&lt;&gt;"",CONCATENATE(VLOOKUP(N138,'[1]zawodnicy'!$A:$E,1,FALSE)," ",VLOOKUP(N138,'[1]zawodnicy'!$A:$E,2,FALSE)," ",VLOOKUP(N138,'[1]zawodnicy'!$A:$E,3,FALSE)," - ",VLOOKUP(N138,'[1]zawodnicy'!$A:$E,4,FALSE)),"")</f>
      </c>
      <c r="V138" s="268"/>
      <c r="W138" s="194">
        <f>IF(SUM(AS145:AT145)=0,"",AT145&amp;":"&amp;AS145)</f>
      </c>
      <c r="X138" s="332"/>
      <c r="Y138" s="160">
        <f>IF(SUM(AS143:AT143)=0,"",AS143&amp;":"&amp;AT143)</f>
      </c>
      <c r="Z138" s="160" t="str">
        <f>IF(SUM(AS140:AT140)=0,"",AT140&amp;":"&amp;AS140)</f>
        <v>24:22</v>
      </c>
      <c r="AA138" s="161">
        <f>IF(SUM(AS136:AT136)=0,"",AS136&amp;":"&amp;AT136)</f>
      </c>
      <c r="AB138" s="325"/>
      <c r="AC138" s="290"/>
      <c r="AD138" s="290"/>
      <c r="AE138" s="292"/>
      <c r="AF138" s="157"/>
      <c r="AG138" s="195" t="s">
        <v>15</v>
      </c>
      <c r="AH138" s="183">
        <f>IF(ISBLANK(S138),"",VLOOKUP(S138,'[1]plan gier'!$X:$AN,12,FALSE))</f>
        <v>21</v>
      </c>
      <c r="AI138" s="184">
        <f>IF(ISBLANK(S138),"",VLOOKUP(S138,'[1]plan gier'!$X:$AN,13,FALSE))</f>
        <v>14</v>
      </c>
      <c r="AJ138" s="184">
        <f>IF(ISBLANK(S138),"",VLOOKUP(S138,'[1]plan gier'!$X:$AN,14,FALSE))</f>
        <v>21</v>
      </c>
      <c r="AK138" s="184">
        <f>IF(ISBLANK(S138),"",VLOOKUP(S138,'[1]plan gier'!$X:$AN,15,FALSE))</f>
        <v>17</v>
      </c>
      <c r="AL138" s="184">
        <f>IF(ISBLANK(S138),"",VLOOKUP(S138,'[1]plan gier'!$X:$AN,16,FALSE))</f>
        <v>0</v>
      </c>
      <c r="AM138" s="185">
        <f>IF(ISBLANK(S138),"",VLOOKUP(S138,'[1]plan gier'!$X:$AN,17,FALSE))</f>
        <v>0</v>
      </c>
      <c r="AN138" s="171">
        <f t="shared" si="13"/>
        <v>73</v>
      </c>
      <c r="AO138" s="186">
        <f t="shared" si="14"/>
        <v>21</v>
      </c>
      <c r="AP138" s="184">
        <f t="shared" si="14"/>
        <v>14</v>
      </c>
      <c r="AQ138" s="187">
        <f t="shared" si="14"/>
        <v>21</v>
      </c>
      <c r="AR138" s="184">
        <f t="shared" si="14"/>
        <v>17</v>
      </c>
      <c r="AS138" s="187">
        <f t="shared" si="14"/>
        <v>0</v>
      </c>
      <c r="AT138" s="185">
        <f t="shared" si="14"/>
        <v>0</v>
      </c>
      <c r="AU138" s="174">
        <v>3</v>
      </c>
      <c r="AV138" s="183">
        <f>IF(AO138&lt;AP138,1,0)+IF(AQ138&lt;AR138,1,0)+IF(AS138&lt;AT138,1,0)</f>
        <v>0</v>
      </c>
      <c r="AW138" s="184">
        <f>AZ136</f>
        <v>2</v>
      </c>
      <c r="AX138" s="184">
        <f>IF(AO143&lt;AP143,1,0)+IF(AQ143&lt;AR143,1,0)+IF(AS143&lt;AT143,1,0)</f>
        <v>2</v>
      </c>
      <c r="AY138" s="184">
        <f>AZ137</f>
        <v>0</v>
      </c>
      <c r="AZ138" s="188"/>
      <c r="BA138" s="189"/>
      <c r="BB138" s="184">
        <f>IF(AO137&gt;AP137,1,0)+IF(AQ137&gt;AR137,1,0)+IF(AS137&gt;AT137,1,0)</f>
        <v>2</v>
      </c>
      <c r="BC138" s="191">
        <f>AZ139</f>
        <v>0</v>
      </c>
      <c r="BD138" s="184">
        <f>IF(AP144&gt;AO144,1,0)+IF(AR144&gt;AQ144,1,0)+IF(AT144&gt;AS144,1,0)</f>
        <v>2</v>
      </c>
      <c r="BE138" s="185">
        <f>AZ140</f>
        <v>0</v>
      </c>
      <c r="BF138" s="196">
        <f>AO137+AQ137+AS137+AP138+AR138+AT138+AP143+AR143+AT143+AP144+AR144+AT144</f>
        <v>157</v>
      </c>
      <c r="BG138" s="197">
        <f>AP137+AR137+AT137+AO138+AQ138+AS138+AO143+AQ143+AS143+AO144+AQ144+AS144</f>
        <v>125</v>
      </c>
      <c r="BH138" s="196">
        <f>AV138+AX138+BB138+BD138</f>
        <v>6</v>
      </c>
      <c r="BI138" s="198">
        <f>AW138+AY138+BC138+BE138</f>
        <v>2</v>
      </c>
      <c r="BJ138" s="183">
        <f>IF(AV138&gt;AW138,1,0)+IF(AX138&gt;AY138,1,0)+IF(BB138&gt;BC138,1,0)+IF(BD138&gt;BE138,1,0)</f>
        <v>3</v>
      </c>
      <c r="BK138" s="185">
        <f>IF(AW138&gt;AV138,1,0)+IF(AY138&gt;AX138,1,0)+IF(BC138&gt;BB138,1,0)+IF(BE138&gt;BD138,1,0)</f>
        <v>1</v>
      </c>
      <c r="BL138" s="192">
        <f>IF(BJ138+BK138=0,"",IF(BM138=MAX(BM136:BM140),1,IF(BM138=LARGE(BM136:BM140,2),2,IF(BM138=LARGE(BM136:BM140,3),3,IF(BM138=MIN(BM136:BM140),5,4)))))</f>
        <v>2</v>
      </c>
      <c r="BM138" s="180">
        <f>IF(BJ138+BK138&lt;&gt;0,BJ138-BK138+(BH138-BI138)/100+(BF138-BG138)/10000,-4)</f>
        <v>2.0432</v>
      </c>
      <c r="BQ138" s="181"/>
      <c r="BR138" s="181"/>
      <c r="BS138" s="181"/>
    </row>
    <row r="139" spans="1:71" s="17" customFormat="1" ht="11.25" customHeight="1" thickBot="1">
      <c r="A139" s="17">
        <f t="shared" si="12"/>
        <v>40</v>
      </c>
      <c r="B139" s="17" t="str">
        <f>IF(N143="","",N143)</f>
        <v>K0007</v>
      </c>
      <c r="C139" s="17">
        <f>IF(N144="","",N144)</f>
      </c>
      <c r="D139" s="17" t="str">
        <f>IF(N146="","",N146)</f>
        <v>M0009</v>
      </c>
      <c r="E139" s="17">
        <f>IF(N147="","",N147)</f>
      </c>
      <c r="J139" s="36"/>
      <c r="K139" s="36"/>
      <c r="M139" s="17" t="str">
        <f>N133</f>
        <v>Old Boys</v>
      </c>
      <c r="N139" s="13"/>
      <c r="O139" s="36"/>
      <c r="P139" s="36"/>
      <c r="Q139" s="42">
        <f>IF(AN139&gt;0,"",IF(A139=0,"",IF(VLOOKUP(A139,'[1]plan gier'!A:S,19,FALSE)="","",VLOOKUP(A139,'[1]plan gier'!A:S,19,FALSE))))</f>
      </c>
      <c r="R139" s="193" t="s">
        <v>59</v>
      </c>
      <c r="S139" s="90">
        <v>40</v>
      </c>
      <c r="T139" s="269">
        <v>3</v>
      </c>
      <c r="U139" s="270">
        <f>IF(AND(N140&lt;&gt;"",N141&lt;&gt;""),CONCATENATE(VLOOKUP(N140,'[1]zawodnicy'!$A:$E,1,FALSE)," ",VLOOKUP(N140,'[1]zawodnicy'!$A:$E,2,FALSE)," ",VLOOKUP(N140,'[1]zawodnicy'!$A:$E,3,FALSE)," - ",VLOOKUP(N140,'[1]zawodnicy'!$A:$E,4,FALSE)),"")</f>
      </c>
      <c r="V139" s="271"/>
      <c r="W139" s="164" t="str">
        <f>IF(SUM(AO138:AP138)=0,"",AP138&amp;":"&amp;AO138)</f>
        <v>14:21</v>
      </c>
      <c r="X139" s="165" t="str">
        <f>IF(SUM(AO143:AP143)=0,"",AP143&amp;":"&amp;AO143)</f>
        <v>21:12</v>
      </c>
      <c r="Y139" s="330"/>
      <c r="Z139" s="165" t="str">
        <f>IF(SUM(AO137:AP137)=0,"",AO137&amp;":"&amp;AP137)</f>
        <v>21:13</v>
      </c>
      <c r="AA139" s="166" t="str">
        <f>IF(SUM(AO144:AP144)=0,"",AP144&amp;":"&amp;AO144)</f>
        <v>21:18</v>
      </c>
      <c r="AB139" s="333" t="str">
        <f>IF(SUM(AV138:AY138,BB138:BE138)=0,"",BF138&amp;":"&amp;BG138)</f>
        <v>157:125</v>
      </c>
      <c r="AC139" s="272" t="str">
        <f>IF(SUM(AV138:AY138,BB138:BE138)=0,"",BH138&amp;":"&amp;BI138)</f>
        <v>6:2</v>
      </c>
      <c r="AD139" s="272" t="str">
        <f>IF(SUM(AV138:AY138,BB138:BE138)=0,"",BJ138&amp;":"&amp;BK138)</f>
        <v>3:1</v>
      </c>
      <c r="AE139" s="275">
        <f>IF(SUM(BJ136:BJ140)&gt;0,BL138,"")</f>
        <v>2</v>
      </c>
      <c r="AF139" s="157"/>
      <c r="AG139" s="195" t="s">
        <v>59</v>
      </c>
      <c r="AH139" s="183">
        <f>IF(ISBLANK(S139),"",VLOOKUP(S139,'[1]plan gier'!$X:$AN,12,FALSE))</f>
        <v>21</v>
      </c>
      <c r="AI139" s="184">
        <f>IF(ISBLANK(S139),"",VLOOKUP(S139,'[1]plan gier'!$X:$AN,13,FALSE))</f>
        <v>17</v>
      </c>
      <c r="AJ139" s="184">
        <f>IF(ISBLANK(S139),"",VLOOKUP(S139,'[1]plan gier'!$X:$AN,14,FALSE))</f>
        <v>21</v>
      </c>
      <c r="AK139" s="184">
        <f>IF(ISBLANK(S139),"",VLOOKUP(S139,'[1]plan gier'!$X:$AN,15,FALSE))</f>
        <v>11</v>
      </c>
      <c r="AL139" s="184">
        <f>IF(ISBLANK(S139),"",VLOOKUP(S139,'[1]plan gier'!$X:$AN,16,FALSE))</f>
        <v>0</v>
      </c>
      <c r="AM139" s="185">
        <f>IF(ISBLANK(S139),"",VLOOKUP(S139,'[1]plan gier'!$X:$AN,17,FALSE))</f>
        <v>0</v>
      </c>
      <c r="AN139" s="171">
        <f t="shared" si="13"/>
        <v>70</v>
      </c>
      <c r="AO139" s="186">
        <f t="shared" si="14"/>
        <v>21</v>
      </c>
      <c r="AP139" s="184">
        <f t="shared" si="14"/>
        <v>17</v>
      </c>
      <c r="AQ139" s="187">
        <f t="shared" si="14"/>
        <v>21</v>
      </c>
      <c r="AR139" s="184">
        <f t="shared" si="14"/>
        <v>11</v>
      </c>
      <c r="AS139" s="187">
        <f t="shared" si="14"/>
        <v>0</v>
      </c>
      <c r="AT139" s="185">
        <f t="shared" si="14"/>
        <v>0</v>
      </c>
      <c r="AU139" s="174">
        <v>4</v>
      </c>
      <c r="AV139" s="183">
        <f>IF(AP142&lt;AO142,1,0)+IF(AR142&lt;AQ142,1,0)+IF(AT142&lt;AS142,1,0)</f>
        <v>0</v>
      </c>
      <c r="AW139" s="184">
        <f>BB136</f>
        <v>2</v>
      </c>
      <c r="AX139" s="184">
        <f>IF(AP140&lt;AO140,1,0)+IF(AR140&lt;AQ140,1,0)+IF(AT140&lt;AS140,1,0)</f>
        <v>1</v>
      </c>
      <c r="AY139" s="184">
        <f>BB137</f>
        <v>2</v>
      </c>
      <c r="AZ139" s="184">
        <f>IF(AO137&lt;AP137,1,0)+IF(AQ137&lt;AR137,1,0)+IF(AS137&lt;AT137,1,0)</f>
        <v>0</v>
      </c>
      <c r="BA139" s="184">
        <f>BB138</f>
        <v>2</v>
      </c>
      <c r="BB139" s="199"/>
      <c r="BC139" s="200"/>
      <c r="BD139" s="184">
        <f>IF(AO139&gt;AP139,1,0)+IF(AQ139&gt;AR139,1,0)+IF(AS139&gt;AT139,1,0)</f>
        <v>2</v>
      </c>
      <c r="BE139" s="185">
        <f>BB140</f>
        <v>0</v>
      </c>
      <c r="BF139" s="183">
        <f>AP137+AR137+AT137++AO139+AQ139+AS139+AO140+AQ140+AS140+AO142+AQ142+AS142</f>
        <v>149</v>
      </c>
      <c r="BG139" s="191">
        <f>AO137+AQ137+AS137+AP139+AR139+AT139+AP140+AR140+AT140+AP142+AR142+AT142</f>
        <v>173</v>
      </c>
      <c r="BH139" s="183">
        <f>AV139+AX139+AZ139+BD139</f>
        <v>3</v>
      </c>
      <c r="BI139" s="185">
        <f>AW139+AY139+BA139+BE139</f>
        <v>6</v>
      </c>
      <c r="BJ139" s="183">
        <f>IF(AV139&gt;AW139,1,0)+IF(AX139&gt;AY139,1,0)+IF(AZ139&gt;BA139,1,0)+IF(BD139&gt;BE139,1,0)</f>
        <v>1</v>
      </c>
      <c r="BK139" s="185">
        <f>IF(AW139&gt;AV139,1,0)+IF(AY139&gt;AX139,1,0)+IF(BA139&gt;AZ139,1,0)+IF(BE139&gt;BD139,1,0)</f>
        <v>3</v>
      </c>
      <c r="BL139" s="192">
        <f>IF(BJ139+BK139=0,"",IF(BM139=MAX(BM136:BM140),1,IF(BM139=LARGE(BM136:BM140,2),2,IF(BM139=LARGE(BM136:BM140,3),3,IF(BM139=MIN(BM136:BM140),5,4)))))</f>
        <v>4</v>
      </c>
      <c r="BM139" s="180">
        <f>IF(BJ139+BK139&lt;&gt;0,BJ139-BK139+(BH139-BI139)/100+(BF139-BG139)/10000,-4)</f>
        <v>-2.0324</v>
      </c>
      <c r="BQ139" s="181"/>
      <c r="BR139" s="181"/>
      <c r="BS139" s="181"/>
    </row>
    <row r="140" spans="1:71" s="17" customFormat="1" ht="11.25" customHeight="1" thickBot="1">
      <c r="A140" s="17">
        <f t="shared" si="12"/>
        <v>41</v>
      </c>
      <c r="B140" s="17" t="str">
        <f>IF(N143="","",N143)</f>
        <v>K0007</v>
      </c>
      <c r="C140" s="17">
        <f>IF(N144="","",N144)</f>
      </c>
      <c r="D140" s="17" t="str">
        <f>IF(N137="","",N137)</f>
        <v>M0008</v>
      </c>
      <c r="E140" s="17">
        <f>IF(N138="","",N138)</f>
      </c>
      <c r="M140" s="17" t="str">
        <f>N133</f>
        <v>Old Boys</v>
      </c>
      <c r="N140" s="34" t="s">
        <v>60</v>
      </c>
      <c r="O140" s="36"/>
      <c r="P140" s="36"/>
      <c r="Q140" s="42">
        <f>IF(AN140&gt;0,"",IF(A140=0,"",IF(VLOOKUP(A140,'[1]plan gier'!A:S,19,FALSE)="","",VLOOKUP(A140,'[1]plan gier'!A:S,19,FALSE))))</f>
      </c>
      <c r="R140" s="193" t="s">
        <v>61</v>
      </c>
      <c r="S140" s="90">
        <v>41</v>
      </c>
      <c r="T140" s="261"/>
      <c r="U140" s="263" t="str">
        <f>IF(AND(N140&lt;&gt;"",N141=""),CONCATENATE(VLOOKUP(N140,'[1]zawodnicy'!$A:$E,1,FALSE)," ",VLOOKUP(N140,'[1]zawodnicy'!$A:$E,2,FALSE)," ",VLOOKUP(N140,'[1]zawodnicy'!$A:$E,3,FALSE)," - ",VLOOKUP(N140,'[1]zawodnicy'!$A:$E,4,FALSE)),"")</f>
        <v>K0003 Robert KARNASIEWICZ - Mielec</v>
      </c>
      <c r="V140" s="264"/>
      <c r="W140" s="182" t="str">
        <f>IF(SUM(AQ138:AR138)=0,"",AR138&amp;":"&amp;AQ138)</f>
        <v>17:21</v>
      </c>
      <c r="X140" s="158" t="str">
        <f>IF(SUM(AQ143:AR143)=0,"",AR143&amp;":"&amp;AQ143)</f>
        <v>21:13</v>
      </c>
      <c r="Y140" s="331"/>
      <c r="Z140" s="158" t="str">
        <f>IF(SUM(AQ137:AR137)=0,"",AQ137&amp;":"&amp;AR137)</f>
        <v>21:17</v>
      </c>
      <c r="AA140" s="159" t="str">
        <f>IF(SUM(AQ144:AR144)=0,"",AR144&amp;":"&amp;AQ144)</f>
        <v>21:10</v>
      </c>
      <c r="AB140" s="324"/>
      <c r="AC140" s="265"/>
      <c r="AD140" s="265"/>
      <c r="AE140" s="266"/>
      <c r="AF140" s="157"/>
      <c r="AG140" s="195" t="s">
        <v>61</v>
      </c>
      <c r="AH140" s="183">
        <f>IF(ISBLANK(S140),"",VLOOKUP(S140,'[1]plan gier'!$X:$AN,12,FALSE))</f>
        <v>18</v>
      </c>
      <c r="AI140" s="184">
        <f>IF(ISBLANK(S140),"",VLOOKUP(S140,'[1]plan gier'!$X:$AN,13,FALSE))</f>
        <v>21</v>
      </c>
      <c r="AJ140" s="184">
        <f>IF(ISBLANK(S140),"",VLOOKUP(S140,'[1]plan gier'!$X:$AN,14,FALSE))</f>
        <v>21</v>
      </c>
      <c r="AK140" s="184">
        <f>IF(ISBLANK(S140),"",VLOOKUP(S140,'[1]plan gier'!$X:$AN,15,FALSE))</f>
        <v>16</v>
      </c>
      <c r="AL140" s="184">
        <f>IF(ISBLANK(S140),"",VLOOKUP(S140,'[1]plan gier'!$X:$AN,16,FALSE))</f>
        <v>22</v>
      </c>
      <c r="AM140" s="185">
        <f>IF(ISBLANK(S140),"",VLOOKUP(S140,'[1]plan gier'!$X:$AN,17,FALSE))</f>
        <v>24</v>
      </c>
      <c r="AN140" s="171">
        <f t="shared" si="13"/>
        <v>122</v>
      </c>
      <c r="AO140" s="186">
        <f t="shared" si="14"/>
        <v>18</v>
      </c>
      <c r="AP140" s="184">
        <f t="shared" si="14"/>
        <v>21</v>
      </c>
      <c r="AQ140" s="187">
        <f t="shared" si="14"/>
        <v>21</v>
      </c>
      <c r="AR140" s="184">
        <f t="shared" si="14"/>
        <v>16</v>
      </c>
      <c r="AS140" s="187">
        <f t="shared" si="14"/>
        <v>22</v>
      </c>
      <c r="AT140" s="185">
        <f t="shared" si="14"/>
        <v>24</v>
      </c>
      <c r="AU140" s="174">
        <v>5</v>
      </c>
      <c r="AV140" s="201">
        <f>IF(AP141&lt;AO141,1,0)+IF(AR141&lt;AQ141,1,0)+IF(AT141&lt;AS141,1,0)</f>
        <v>0</v>
      </c>
      <c r="AW140" s="202">
        <f>BD136</f>
        <v>2</v>
      </c>
      <c r="AX140" s="202">
        <f>IF(AO136&lt;AP136,1,0)+IF(AQ136&lt;AR136,1,0)+IF(AS136&lt;AT136,1,0)</f>
        <v>0</v>
      </c>
      <c r="AY140" s="202">
        <f>BD137</f>
        <v>2</v>
      </c>
      <c r="AZ140" s="202">
        <f>IF(AP144&lt;AO144,1,0)+IF(AR144&lt;AQ144,1,0)+IF(AT144&lt;AS144,1,0)</f>
        <v>0</v>
      </c>
      <c r="BA140" s="202">
        <f>BD138</f>
        <v>2</v>
      </c>
      <c r="BB140" s="202">
        <f>IF(AO139&lt;AP139,1,0)+IF(AQ139&lt;AR139,1,0)+IF(AS139&lt;AT139,1,0)</f>
        <v>0</v>
      </c>
      <c r="BC140" s="202">
        <f>BD139</f>
        <v>2</v>
      </c>
      <c r="BD140" s="81"/>
      <c r="BE140" s="203"/>
      <c r="BF140" s="204">
        <f>AP136+AR136+AT136+AP139+AR139+AT139+AO141+AQ141+AS141+AO144+AQ144+AS144</f>
        <v>82</v>
      </c>
      <c r="BG140" s="205">
        <f>AO136+AQ136+AS136+AO139+AQ139+AS139+AP141+AR141+AT141+AP144+AR144+AT144</f>
        <v>168</v>
      </c>
      <c r="BH140" s="204">
        <f>AV140+AX140+AZ140+BB140</f>
        <v>0</v>
      </c>
      <c r="BI140" s="206">
        <f>AW140+AY140+BA140+BC140</f>
        <v>8</v>
      </c>
      <c r="BJ140" s="204">
        <f>IF(AV140&gt;AW140,1,0)+IF(AX140&gt;AY140,1,0)+IF(AZ140&gt;BA140,1,0)+IF(BB140&gt;BC140,1,0)</f>
        <v>0</v>
      </c>
      <c r="BK140" s="206">
        <f>IF(AW140&gt;AV140,1,0)+IF(AY140&gt;AX140,1,0)+IF(BA140&gt;AZ140,1,0)+IF(BC140&gt;BB140,1,0)</f>
        <v>4</v>
      </c>
      <c r="BL140" s="207">
        <f>IF(BJ140+BK140=0,"",IF(BM140=MAX(BM136:BM140),1,IF(BM140=LARGE(BM136:BM140,2),2,IF(BM140=LARGE(BM136:BM140,3),3,IF(BM140=MIN(BM136:BM140),5,4)))))</f>
        <v>5</v>
      </c>
      <c r="BM140" s="180">
        <f>IF(BJ140+BK140&lt;&gt;0,BJ140-BK140+(BH140-BI140)/100+(BF140-BG140)/10000,-4)</f>
        <v>-4.0886000000000005</v>
      </c>
      <c r="BQ140" s="181"/>
      <c r="BR140" s="181"/>
      <c r="BS140" s="181"/>
    </row>
    <row r="141" spans="1:65" s="17" customFormat="1" ht="11.25" customHeight="1">
      <c r="A141" s="17">
        <f t="shared" si="12"/>
        <v>42</v>
      </c>
      <c r="B141" s="17" t="str">
        <f>IF(N146="","",N146)</f>
        <v>M0009</v>
      </c>
      <c r="C141" s="17">
        <f>IF(N147="","",N147)</f>
      </c>
      <c r="D141" s="17" t="str">
        <f>IF(N134="","",N134)</f>
        <v>B0009</v>
      </c>
      <c r="E141" s="17">
        <f>IF(N135="","",N135)</f>
      </c>
      <c r="J141" s="36"/>
      <c r="K141" s="36"/>
      <c r="M141" s="17" t="str">
        <f>N133</f>
        <v>Old Boys</v>
      </c>
      <c r="N141" s="37"/>
      <c r="O141" s="36"/>
      <c r="P141" s="36"/>
      <c r="Q141" s="42">
        <f>IF(AN141&gt;0,"",IF(A141=0,"",IF(VLOOKUP(A141,'[1]plan gier'!A:S,19,FALSE)="","",VLOOKUP(A141,'[1]plan gier'!A:S,19,FALSE))))</f>
      </c>
      <c r="R141" s="193" t="s">
        <v>62</v>
      </c>
      <c r="S141" s="90">
        <v>42</v>
      </c>
      <c r="T141" s="262"/>
      <c r="U141" s="267">
        <f>IF(N141&lt;&gt;"",CONCATENATE(VLOOKUP(N141,'[1]zawodnicy'!$A:$E,1,FALSE)," ",VLOOKUP(N141,'[1]zawodnicy'!$A:$E,2,FALSE)," ",VLOOKUP(N141,'[1]zawodnicy'!$A:$E,3,FALSE)," - ",VLOOKUP(N141,'[1]zawodnicy'!$A:$E,4,FALSE)),"")</f>
      </c>
      <c r="V141" s="268"/>
      <c r="W141" s="194">
        <f>IF(SUM(AS138:AT138)=0,"",AT138&amp;":"&amp;AS138)</f>
      </c>
      <c r="X141" s="160">
        <f>IF(SUM(AS143:AT143)=0,"",AT143&amp;":"&amp;AS143)</f>
      </c>
      <c r="Y141" s="332"/>
      <c r="Z141" s="160">
        <f>IF(SUM(AS137:AT137)=0,"",AS137&amp;":"&amp;AT137)</f>
      </c>
      <c r="AA141" s="161">
        <f>IF(SUM(AS144:AT144)=0,"",AT144&amp;":"&amp;AS144)</f>
      </c>
      <c r="AB141" s="325"/>
      <c r="AC141" s="290"/>
      <c r="AD141" s="290"/>
      <c r="AE141" s="292"/>
      <c r="AF141" s="157"/>
      <c r="AG141" s="195" t="s">
        <v>62</v>
      </c>
      <c r="AH141" s="183">
        <f>IF(ISBLANK(S141),"",VLOOKUP(S141,'[1]plan gier'!$X:$AN,12,FALSE))</f>
        <v>3</v>
      </c>
      <c r="AI141" s="184">
        <f>IF(ISBLANK(S141),"",VLOOKUP(S141,'[1]plan gier'!$X:$AN,13,FALSE))</f>
        <v>21</v>
      </c>
      <c r="AJ141" s="184">
        <f>IF(ISBLANK(S141),"",VLOOKUP(S141,'[1]plan gier'!$X:$AN,14,FALSE))</f>
        <v>7</v>
      </c>
      <c r="AK141" s="184">
        <f>IF(ISBLANK(S141),"",VLOOKUP(S141,'[1]plan gier'!$X:$AN,15,FALSE))</f>
        <v>21</v>
      </c>
      <c r="AL141" s="184">
        <f>IF(ISBLANK(S141),"",VLOOKUP(S141,'[1]plan gier'!$X:$AN,16,FALSE))</f>
        <v>0</v>
      </c>
      <c r="AM141" s="185">
        <f>IF(ISBLANK(S141),"",VLOOKUP(S141,'[1]plan gier'!$X:$AN,17,FALSE))</f>
        <v>0</v>
      </c>
      <c r="AN141" s="171">
        <f t="shared" si="13"/>
        <v>52</v>
      </c>
      <c r="AO141" s="186">
        <f t="shared" si="14"/>
        <v>3</v>
      </c>
      <c r="AP141" s="184">
        <f t="shared" si="14"/>
        <v>21</v>
      </c>
      <c r="AQ141" s="187">
        <f t="shared" si="14"/>
        <v>7</v>
      </c>
      <c r="AR141" s="184">
        <f t="shared" si="14"/>
        <v>21</v>
      </c>
      <c r="AS141" s="187">
        <f t="shared" si="14"/>
        <v>0</v>
      </c>
      <c r="AT141" s="185">
        <f t="shared" si="14"/>
        <v>0</v>
      </c>
      <c r="AU141" s="157"/>
      <c r="AV141" s="208"/>
      <c r="AW141" s="208"/>
      <c r="AX141" s="208"/>
      <c r="AY141" s="208"/>
      <c r="AZ141" s="208"/>
      <c r="BA141" s="208"/>
      <c r="BF141" s="17">
        <f aca="true" t="shared" si="15" ref="BF141:BK141">SUM(BF136:BF140)</f>
        <v>703</v>
      </c>
      <c r="BG141" s="17">
        <f t="shared" si="15"/>
        <v>703</v>
      </c>
      <c r="BH141" s="17">
        <f t="shared" si="15"/>
        <v>21</v>
      </c>
      <c r="BI141" s="17">
        <f t="shared" si="15"/>
        <v>21</v>
      </c>
      <c r="BJ141" s="17">
        <f t="shared" si="15"/>
        <v>10</v>
      </c>
      <c r="BK141" s="17">
        <f t="shared" si="15"/>
        <v>10</v>
      </c>
      <c r="BM141" s="209">
        <f>SUM(BM136:BM140)</f>
        <v>0</v>
      </c>
    </row>
    <row r="142" spans="1:53" s="17" customFormat="1" ht="11.25" customHeight="1">
      <c r="A142" s="17">
        <f t="shared" si="12"/>
        <v>43</v>
      </c>
      <c r="B142" s="17" t="str">
        <f>IF(N143="","",N143)</f>
        <v>K0007</v>
      </c>
      <c r="C142" s="17">
        <f>IF(N144="","",N144)</f>
      </c>
      <c r="D142" s="17" t="str">
        <f>IF(N134="","",N134)</f>
        <v>B0009</v>
      </c>
      <c r="E142" s="17">
        <f>IF(N135="","",N135)</f>
      </c>
      <c r="J142" s="36"/>
      <c r="K142" s="36"/>
      <c r="M142" s="17" t="str">
        <f>N133</f>
        <v>Old Boys</v>
      </c>
      <c r="N142" s="13"/>
      <c r="O142" s="36"/>
      <c r="P142" s="36"/>
      <c r="Q142" s="42">
        <f>IF(AN142&gt;0,"",IF(A142=0,"",IF(VLOOKUP(A142,'[1]plan gier'!A:S,19,FALSE)="","",VLOOKUP(A142,'[1]plan gier'!A:S,19,FALSE))))</f>
      </c>
      <c r="R142" s="193" t="s">
        <v>63</v>
      </c>
      <c r="S142" s="90">
        <v>43</v>
      </c>
      <c r="T142" s="269">
        <v>4</v>
      </c>
      <c r="U142" s="270">
        <f>IF(AND(N143&lt;&gt;"",N144&lt;&gt;""),CONCATENATE(VLOOKUP(N143,'[1]zawodnicy'!$A:$E,1,FALSE)," ",VLOOKUP(N143,'[1]zawodnicy'!$A:$E,2,FALSE)," ",VLOOKUP(N143,'[1]zawodnicy'!$A:$E,3,FALSE)," - ",VLOOKUP(N143,'[1]zawodnicy'!$A:$E,4,FALSE)),"")</f>
      </c>
      <c r="V142" s="271"/>
      <c r="W142" s="164" t="str">
        <f>IF(SUM(AO142:AP142)=0,"",AO142&amp;":"&amp;AP142)</f>
        <v>7:21</v>
      </c>
      <c r="X142" s="165" t="str">
        <f>IF(SUM(AO140:AP140)=0,"",AO140&amp;":"&amp;AP140)</f>
        <v>18:21</v>
      </c>
      <c r="Y142" s="165" t="str">
        <f>IF(SUM(AO137:AP137)=0,"",AP137&amp;":"&amp;AO137)</f>
        <v>13:21</v>
      </c>
      <c r="Z142" s="330"/>
      <c r="AA142" s="166" t="str">
        <f>IF(SUM(AO139:AP139)=0,"",AO139&amp;":"&amp;AP139)</f>
        <v>21:17</v>
      </c>
      <c r="AB142" s="333" t="str">
        <f>IF(SUM(AV139:BA139,BD139:BE139)=0,"",BF139&amp;":"&amp;BG139)</f>
        <v>149:173</v>
      </c>
      <c r="AC142" s="272" t="str">
        <f>IF(SUM(AV139:BA139,BD139:BE139)=0,"",BH139&amp;":"&amp;BI139)</f>
        <v>3:6</v>
      </c>
      <c r="AD142" s="272" t="str">
        <f>IF(SUM(AV139:BA139,BD139:BE139)=0,"",BJ139&amp;":"&amp;BK139)</f>
        <v>1:3</v>
      </c>
      <c r="AE142" s="275">
        <f>IF(SUM(BJ136:BJ140)&gt;0,BL139,"")</f>
        <v>4</v>
      </c>
      <c r="AF142" s="157"/>
      <c r="AG142" s="195" t="s">
        <v>63</v>
      </c>
      <c r="AH142" s="183">
        <f>IF(ISBLANK(S142),"",VLOOKUP(S142,'[1]plan gier'!$X:$AN,12,FALSE))</f>
        <v>7</v>
      </c>
      <c r="AI142" s="184">
        <f>IF(ISBLANK(S142),"",VLOOKUP(S142,'[1]plan gier'!$X:$AN,13,FALSE))</f>
        <v>21</v>
      </c>
      <c r="AJ142" s="184">
        <f>IF(ISBLANK(S142),"",VLOOKUP(S142,'[1]plan gier'!$X:$AN,14,FALSE))</f>
        <v>9</v>
      </c>
      <c r="AK142" s="184">
        <f>IF(ISBLANK(S142),"",VLOOKUP(S142,'[1]plan gier'!$X:$AN,15,FALSE))</f>
        <v>21</v>
      </c>
      <c r="AL142" s="184">
        <f>IF(ISBLANK(S142),"",VLOOKUP(S142,'[1]plan gier'!$X:$AN,16,FALSE))</f>
        <v>0</v>
      </c>
      <c r="AM142" s="185">
        <f>IF(ISBLANK(S142),"",VLOOKUP(S142,'[1]plan gier'!$X:$AN,17,FALSE))</f>
        <v>0</v>
      </c>
      <c r="AN142" s="171">
        <f t="shared" si="13"/>
        <v>58</v>
      </c>
      <c r="AO142" s="186">
        <f t="shared" si="14"/>
        <v>7</v>
      </c>
      <c r="AP142" s="184">
        <f t="shared" si="14"/>
        <v>21</v>
      </c>
      <c r="AQ142" s="187">
        <f t="shared" si="14"/>
        <v>9</v>
      </c>
      <c r="AR142" s="184">
        <f t="shared" si="14"/>
        <v>21</v>
      </c>
      <c r="AS142" s="187">
        <f t="shared" si="14"/>
        <v>0</v>
      </c>
      <c r="AT142" s="185">
        <f t="shared" si="14"/>
        <v>0</v>
      </c>
      <c r="AU142" s="157"/>
      <c r="AV142" s="208"/>
      <c r="AW142" s="208"/>
      <c r="AX142" s="208"/>
      <c r="AY142" s="208"/>
      <c r="AZ142" s="208"/>
      <c r="BA142" s="208"/>
    </row>
    <row r="143" spans="1:53" s="17" customFormat="1" ht="11.25" customHeight="1">
      <c r="A143" s="17">
        <f t="shared" si="12"/>
        <v>44</v>
      </c>
      <c r="B143" s="17" t="str">
        <f>IF(N137="","",N137)</f>
        <v>M0008</v>
      </c>
      <c r="C143" s="17">
        <f>IF(N138="","",N138)</f>
      </c>
      <c r="D143" s="17" t="str">
        <f>IF(N140="","",N140)</f>
        <v>K0003</v>
      </c>
      <c r="E143" s="17">
        <f>IF(N141="","",N141)</f>
      </c>
      <c r="M143" s="17" t="str">
        <f>N133</f>
        <v>Old Boys</v>
      </c>
      <c r="N143" s="34" t="s">
        <v>64</v>
      </c>
      <c r="O143" s="36"/>
      <c r="P143" s="36"/>
      <c r="Q143" s="42">
        <f>IF(AN143&gt;0,"",IF(A143=0,"",IF(VLOOKUP(A143,'[1]plan gier'!A:S,19,FALSE)="","",VLOOKUP(A143,'[1]plan gier'!A:S,19,FALSE))))</f>
      </c>
      <c r="R143" s="193" t="s">
        <v>19</v>
      </c>
      <c r="S143" s="90">
        <v>44</v>
      </c>
      <c r="T143" s="261"/>
      <c r="U143" s="263" t="str">
        <f>IF(AND(N143&lt;&gt;"",N144=""),CONCATENATE(VLOOKUP(N143,'[1]zawodnicy'!$A:$E,1,FALSE)," ",VLOOKUP(N143,'[1]zawodnicy'!$A:$E,2,FALSE)," ",VLOOKUP(N143,'[1]zawodnicy'!$A:$E,3,FALSE)," - ",VLOOKUP(N143,'[1]zawodnicy'!$A:$E,4,FALSE)),"")</f>
        <v>K0007 Jerzy KNOT - Gorlice</v>
      </c>
      <c r="V143" s="264"/>
      <c r="W143" s="182" t="str">
        <f>IF(SUM(AQ142:AR142)=0,"",AQ142&amp;":"&amp;AR142)</f>
        <v>9:21</v>
      </c>
      <c r="X143" s="158" t="str">
        <f>IF(SUM(AQ140:AR140)=0,"",AQ140&amp;":"&amp;AR140)</f>
        <v>21:16</v>
      </c>
      <c r="Y143" s="158" t="str">
        <f>IF(SUM(AQ137:AR137)=0,"",AR137&amp;":"&amp;AQ137)</f>
        <v>17:21</v>
      </c>
      <c r="Z143" s="331"/>
      <c r="AA143" s="159" t="str">
        <f>IF(SUM(AQ139:AR139)=0,"",AQ139&amp;":"&amp;AR139)</f>
        <v>21:11</v>
      </c>
      <c r="AB143" s="324"/>
      <c r="AC143" s="265"/>
      <c r="AD143" s="265"/>
      <c r="AE143" s="266"/>
      <c r="AF143" s="157"/>
      <c r="AG143" s="195" t="s">
        <v>19</v>
      </c>
      <c r="AH143" s="183">
        <f>IF(ISBLANK(S143),"",VLOOKUP(S143,'[1]plan gier'!$X:$AN,12,FALSE))</f>
        <v>12</v>
      </c>
      <c r="AI143" s="184">
        <f>IF(ISBLANK(S143),"",VLOOKUP(S143,'[1]plan gier'!$X:$AN,13,FALSE))</f>
        <v>21</v>
      </c>
      <c r="AJ143" s="184">
        <f>IF(ISBLANK(S143),"",VLOOKUP(S143,'[1]plan gier'!$X:$AN,14,FALSE))</f>
        <v>13</v>
      </c>
      <c r="AK143" s="184">
        <f>IF(ISBLANK(S143),"",VLOOKUP(S143,'[1]plan gier'!$X:$AN,15,FALSE))</f>
        <v>21</v>
      </c>
      <c r="AL143" s="184">
        <f>IF(ISBLANK(S143),"",VLOOKUP(S143,'[1]plan gier'!$X:$AN,16,FALSE))</f>
        <v>0</v>
      </c>
      <c r="AM143" s="185">
        <f>IF(ISBLANK(S143),"",VLOOKUP(S143,'[1]plan gier'!$X:$AN,17,FALSE))</f>
        <v>0</v>
      </c>
      <c r="AN143" s="171">
        <f t="shared" si="13"/>
        <v>67</v>
      </c>
      <c r="AO143" s="186">
        <f t="shared" si="14"/>
        <v>12</v>
      </c>
      <c r="AP143" s="184">
        <f t="shared" si="14"/>
        <v>21</v>
      </c>
      <c r="AQ143" s="187">
        <f t="shared" si="14"/>
        <v>13</v>
      </c>
      <c r="AR143" s="184">
        <f t="shared" si="14"/>
        <v>21</v>
      </c>
      <c r="AS143" s="187">
        <f t="shared" si="14"/>
        <v>0</v>
      </c>
      <c r="AT143" s="185">
        <f t="shared" si="14"/>
        <v>0</v>
      </c>
      <c r="AU143" s="157"/>
      <c r="AV143" s="208"/>
      <c r="AW143" s="208"/>
      <c r="AX143" s="208"/>
      <c r="AY143" s="208"/>
      <c r="AZ143" s="208"/>
      <c r="BA143" s="208"/>
    </row>
    <row r="144" spans="1:53" s="17" customFormat="1" ht="11.25" customHeight="1">
      <c r="A144" s="17">
        <f t="shared" si="12"/>
        <v>45</v>
      </c>
      <c r="B144" s="17" t="str">
        <f>IF(N146="","",N146)</f>
        <v>M0009</v>
      </c>
      <c r="C144" s="17">
        <f>IF(N147="","",N147)</f>
      </c>
      <c r="D144" s="17" t="str">
        <f>IF(N140="","",N140)</f>
        <v>K0003</v>
      </c>
      <c r="E144" s="17">
        <f>IF(N141="","",N141)</f>
      </c>
      <c r="J144" s="36"/>
      <c r="K144" s="36"/>
      <c r="M144" s="17" t="str">
        <f>N133</f>
        <v>Old Boys</v>
      </c>
      <c r="N144" s="37"/>
      <c r="O144" s="36"/>
      <c r="P144" s="36"/>
      <c r="Q144" s="42">
        <f>IF(AN144&gt;0,"",IF(A144=0,"",IF(VLOOKUP(A144,'[1]plan gier'!A:S,19,FALSE)="","",VLOOKUP(A144,'[1]plan gier'!A:S,19,FALSE))))</f>
      </c>
      <c r="R144" s="193" t="s">
        <v>65</v>
      </c>
      <c r="S144" s="90">
        <v>45</v>
      </c>
      <c r="T144" s="262"/>
      <c r="U144" s="267">
        <f>IF(N144&lt;&gt;"",CONCATENATE(VLOOKUP(N144,'[1]zawodnicy'!$A:$E,1,FALSE)," ",VLOOKUP(N144,'[1]zawodnicy'!$A:$E,2,FALSE)," ",VLOOKUP(N144,'[1]zawodnicy'!$A:$E,3,FALSE)," - ",VLOOKUP(N144,'[1]zawodnicy'!$A:$E,4,FALSE)),"")</f>
      </c>
      <c r="V144" s="268"/>
      <c r="W144" s="194">
        <f>IF(SUM(AS142:AT142)=0,"",AS142&amp;":"&amp;AT142)</f>
      </c>
      <c r="X144" s="160" t="str">
        <f>IF(SUM(AS140:AT140)=0,"",AS140&amp;":"&amp;AT140)</f>
        <v>22:24</v>
      </c>
      <c r="Y144" s="160">
        <f>IF(SUM(AS137:AT137)=0,"",AT137&amp;":"&amp;AS137)</f>
      </c>
      <c r="Z144" s="332"/>
      <c r="AA144" s="161">
        <f>IF(SUM(AS139:AT139)=0,"",AS139&amp;":"&amp;AT139)</f>
      </c>
      <c r="AB144" s="325"/>
      <c r="AC144" s="290"/>
      <c r="AD144" s="290"/>
      <c r="AE144" s="292"/>
      <c r="AF144" s="157"/>
      <c r="AG144" s="195" t="s">
        <v>65</v>
      </c>
      <c r="AH144" s="183">
        <f>IF(ISBLANK(S144),"",VLOOKUP(S144,'[1]plan gier'!$X:$AN,12,FALSE))</f>
        <v>18</v>
      </c>
      <c r="AI144" s="184">
        <f>IF(ISBLANK(S144),"",VLOOKUP(S144,'[1]plan gier'!$X:$AN,13,FALSE))</f>
        <v>21</v>
      </c>
      <c r="AJ144" s="184">
        <f>IF(ISBLANK(S144),"",VLOOKUP(S144,'[1]plan gier'!$X:$AN,14,FALSE))</f>
        <v>10</v>
      </c>
      <c r="AK144" s="184">
        <f>IF(ISBLANK(S144),"",VLOOKUP(S144,'[1]plan gier'!$X:$AN,15,FALSE))</f>
        <v>21</v>
      </c>
      <c r="AL144" s="184">
        <f>IF(ISBLANK(S144),"",VLOOKUP(S144,'[1]plan gier'!$X:$AN,16,FALSE))</f>
        <v>0</v>
      </c>
      <c r="AM144" s="185">
        <f>IF(ISBLANK(S144),"",VLOOKUP(S144,'[1]plan gier'!$X:$AN,17,FALSE))</f>
        <v>0</v>
      </c>
      <c r="AN144" s="171">
        <f t="shared" si="13"/>
        <v>70</v>
      </c>
      <c r="AO144" s="186">
        <f t="shared" si="14"/>
        <v>18</v>
      </c>
      <c r="AP144" s="184">
        <f t="shared" si="14"/>
        <v>21</v>
      </c>
      <c r="AQ144" s="187">
        <f t="shared" si="14"/>
        <v>10</v>
      </c>
      <c r="AR144" s="184">
        <f t="shared" si="14"/>
        <v>21</v>
      </c>
      <c r="AS144" s="187">
        <f t="shared" si="14"/>
        <v>0</v>
      </c>
      <c r="AT144" s="185">
        <f t="shared" si="14"/>
        <v>0</v>
      </c>
      <c r="AU144" s="157"/>
      <c r="AV144" s="208"/>
      <c r="AW144" s="208"/>
      <c r="AX144" s="208"/>
      <c r="AY144" s="208"/>
      <c r="AZ144" s="208"/>
      <c r="BA144" s="208"/>
    </row>
    <row r="145" spans="1:53" s="17" customFormat="1" ht="11.25" customHeight="1" thickBot="1">
      <c r="A145" s="17">
        <f t="shared" si="12"/>
        <v>46</v>
      </c>
      <c r="B145" s="17" t="str">
        <f>IF(N134="","",N134)</f>
        <v>B0009</v>
      </c>
      <c r="C145" s="17">
        <f>IF(N135="","",N135)</f>
      </c>
      <c r="D145" s="17" t="str">
        <f>IF(N137="","",N137)</f>
        <v>M0008</v>
      </c>
      <c r="E145" s="17">
        <f>IF(N138="","",N138)</f>
      </c>
      <c r="J145" s="36"/>
      <c r="K145" s="36"/>
      <c r="M145" s="17" t="str">
        <f>N133</f>
        <v>Old Boys</v>
      </c>
      <c r="O145" s="36"/>
      <c r="P145" s="36"/>
      <c r="Q145" s="42">
        <f>IF(AN145&gt;0,"",IF(A145=0,"",IF(VLOOKUP(A145,'[1]plan gier'!A:S,19,FALSE)="","",VLOOKUP(A145,'[1]plan gier'!A:S,19,FALSE))))</f>
      </c>
      <c r="R145" s="193" t="s">
        <v>22</v>
      </c>
      <c r="S145" s="90">
        <v>46</v>
      </c>
      <c r="T145" s="269">
        <v>5</v>
      </c>
      <c r="U145" s="270">
        <f>IF(AND(N146&lt;&gt;"",N147&lt;&gt;""),CONCATENATE(VLOOKUP(N146,'[1]zawodnicy'!$A:$E,1,FALSE)," ",VLOOKUP(N146,'[1]zawodnicy'!$A:$E,2,FALSE)," ",VLOOKUP(N146,'[1]zawodnicy'!$A:$E,3,FALSE)," - ",VLOOKUP(N146,'[1]zawodnicy'!$A:$E,4,FALSE)),"")</f>
      </c>
      <c r="V145" s="271"/>
      <c r="W145" s="164" t="str">
        <f>IF(SUM(AO141:AP141)=0,"",AO141&amp;":"&amp;AP141)</f>
        <v>3:21</v>
      </c>
      <c r="X145" s="165" t="str">
        <f>IF(SUM(AO136:AP136)=0,"",AP136&amp;":"&amp;AO136)</f>
        <v>8:21</v>
      </c>
      <c r="Y145" s="165" t="str">
        <f>IF(SUM(AO144:AP144)=0,"",AO144&amp;":"&amp;AP144)</f>
        <v>18:21</v>
      </c>
      <c r="Z145" s="165" t="str">
        <f>IF(SUM(AO139:AP139)=0,"",AP139&amp;":"&amp;AO139)</f>
        <v>17:21</v>
      </c>
      <c r="AA145" s="343"/>
      <c r="AB145" s="333" t="str">
        <f>IF(SUM(AV140:BC140)=0,"",BF140&amp;":"&amp;BG140)</f>
        <v>82:168</v>
      </c>
      <c r="AC145" s="272" t="str">
        <f>IF(SUM(AV140:BC140)=0,"",BH140&amp;":"&amp;BI140)</f>
        <v>0:8</v>
      </c>
      <c r="AD145" s="272" t="str">
        <f>IF(SUM(AV140:BC140)=0,"",BJ140&amp;":"&amp;BK140)</f>
        <v>0:4</v>
      </c>
      <c r="AE145" s="275">
        <f>IF(SUM(BJ136:BJ140)&gt;0,BL140,"")</f>
        <v>5</v>
      </c>
      <c r="AF145" s="157"/>
      <c r="AG145" s="195" t="s">
        <v>22</v>
      </c>
      <c r="AH145" s="201">
        <f>IF(ISBLANK(S145),"",VLOOKUP(S145,'[1]plan gier'!$X:$AN,12,FALSE))</f>
        <v>21</v>
      </c>
      <c r="AI145" s="202">
        <f>IF(ISBLANK(S145),"",VLOOKUP(S145,'[1]plan gier'!$X:$AN,13,FALSE))</f>
        <v>6</v>
      </c>
      <c r="AJ145" s="202">
        <f>IF(ISBLANK(S145),"",VLOOKUP(S145,'[1]plan gier'!$X:$AN,14,FALSE))</f>
        <v>21</v>
      </c>
      <c r="AK145" s="202">
        <f>IF(ISBLANK(S145),"",VLOOKUP(S145,'[1]plan gier'!$X:$AN,15,FALSE))</f>
        <v>13</v>
      </c>
      <c r="AL145" s="202">
        <f>IF(ISBLANK(S145),"",VLOOKUP(S145,'[1]plan gier'!$X:$AN,16,FALSE))</f>
        <v>0</v>
      </c>
      <c r="AM145" s="210">
        <f>IF(ISBLANK(S145),"",VLOOKUP(S145,'[1]plan gier'!$X:$AN,17,FALSE))</f>
        <v>0</v>
      </c>
      <c r="AN145" s="171">
        <f t="shared" si="13"/>
        <v>61</v>
      </c>
      <c r="AO145" s="211">
        <f t="shared" si="14"/>
        <v>21</v>
      </c>
      <c r="AP145" s="202">
        <f t="shared" si="14"/>
        <v>6</v>
      </c>
      <c r="AQ145" s="212">
        <f t="shared" si="14"/>
        <v>21</v>
      </c>
      <c r="AR145" s="202">
        <f t="shared" si="14"/>
        <v>13</v>
      </c>
      <c r="AS145" s="212">
        <f t="shared" si="14"/>
        <v>0</v>
      </c>
      <c r="AT145" s="210">
        <f t="shared" si="14"/>
        <v>0</v>
      </c>
      <c r="AU145" s="157"/>
      <c r="AV145" s="208"/>
      <c r="AW145" s="208"/>
      <c r="AX145" s="208"/>
      <c r="AY145" s="208"/>
      <c r="AZ145" s="208"/>
      <c r="BA145" s="208"/>
    </row>
    <row r="146" spans="14:32" s="17" customFormat="1" ht="11.25" customHeight="1">
      <c r="N146" s="34" t="s">
        <v>66</v>
      </c>
      <c r="O146" s="36"/>
      <c r="P146" s="36"/>
      <c r="Q146" s="213"/>
      <c r="R146" s="213"/>
      <c r="S146" s="90"/>
      <c r="T146" s="261"/>
      <c r="U146" s="263" t="str">
        <f>IF(AND(N146&lt;&gt;"",N147=""),CONCATENATE(VLOOKUP(N146,'[1]zawodnicy'!$A:$E,1,FALSE)," ",VLOOKUP(N146,'[1]zawodnicy'!$A:$E,2,FALSE)," ",VLOOKUP(N146,'[1]zawodnicy'!$A:$E,3,FALSE)," - ",VLOOKUP(N146,'[1]zawodnicy'!$A:$E,4,FALSE)),"")</f>
        <v>M0009 Robert MIKA - Gorlice</v>
      </c>
      <c r="V146" s="264"/>
      <c r="W146" s="182" t="str">
        <f>IF(SUM(AQ141:AR141)=0,"",AQ141&amp;":"&amp;AR141)</f>
        <v>7:21</v>
      </c>
      <c r="X146" s="158" t="str">
        <f>IF(SUM(AQ136:AR136)=0,"",AR136&amp;":"&amp;AQ136)</f>
        <v>8:21</v>
      </c>
      <c r="Y146" s="158" t="str">
        <f>IF(SUM(AQ144:AR144)=0,"",AQ144&amp;":"&amp;AR144)</f>
        <v>10:21</v>
      </c>
      <c r="Z146" s="158" t="str">
        <f>IF(SUM(AQ139:AR139)=0,"",AR139&amp;":"&amp;AQ139)</f>
        <v>11:21</v>
      </c>
      <c r="AA146" s="344"/>
      <c r="AB146" s="324"/>
      <c r="AC146" s="265"/>
      <c r="AD146" s="265"/>
      <c r="AE146" s="266"/>
      <c r="AF146" s="157"/>
    </row>
    <row r="147" spans="10:32" s="17" customFormat="1" ht="11.25" customHeight="1" thickBot="1">
      <c r="J147" s="36"/>
      <c r="K147" s="36"/>
      <c r="L147" s="36"/>
      <c r="N147" s="214"/>
      <c r="O147" s="36"/>
      <c r="P147" s="36"/>
      <c r="T147" s="286"/>
      <c r="U147" s="296">
        <f>IF(N147&lt;&gt;"",CONCATENATE(VLOOKUP(N147,'[1]zawodnicy'!$A:$E,1,FALSE)," ",VLOOKUP(N147,'[1]zawodnicy'!$A:$E,2,FALSE)," ",VLOOKUP(N147,'[1]zawodnicy'!$A:$E,3,FALSE)," - ",VLOOKUP(N147,'[1]zawodnicy'!$A:$E,4,FALSE)),"")</f>
      </c>
      <c r="V147" s="297"/>
      <c r="W147" s="215">
        <f>IF(SUM(AS141:AT141)=0,"",AS141&amp;":"&amp;AT141)</f>
      </c>
      <c r="X147" s="216">
        <f>IF(SUM(AS136:AT136)=0,"",AT136&amp;":"&amp;AS136)</f>
      </c>
      <c r="Y147" s="216">
        <f>IF(SUM(AS144:AT144)=0,"",AS144&amp;":"&amp;AT144)</f>
      </c>
      <c r="Z147" s="216">
        <f>IF(SUM(AS139:AT139)=0,"",AT139&amp;":"&amp;AS139)</f>
      </c>
      <c r="AA147" s="345"/>
      <c r="AB147" s="346"/>
      <c r="AC147" s="287"/>
      <c r="AD147" s="287"/>
      <c r="AE147" s="288"/>
      <c r="AF147" s="157"/>
    </row>
    <row r="148" ht="11.25" customHeight="1"/>
    <row r="149" ht="11.25" customHeight="1"/>
    <row r="150" spans="13:31" ht="11.25" customHeight="1">
      <c r="M150" s="15"/>
      <c r="N150" s="16" t="s">
        <v>67</v>
      </c>
      <c r="Q150" s="252" t="str">
        <f>"Gra "&amp;N150</f>
        <v>Gra Kobiet</v>
      </c>
      <c r="R150" s="252"/>
      <c r="S150" s="252"/>
      <c r="T150" s="252"/>
      <c r="U150" s="252"/>
      <c r="V150" s="252"/>
      <c r="W150" s="252"/>
      <c r="X150" s="252"/>
      <c r="Y150" s="252"/>
      <c r="Z150" s="252"/>
      <c r="AA150" s="252"/>
      <c r="AB150" s="252"/>
      <c r="AC150" s="252"/>
      <c r="AD150" s="252"/>
      <c r="AE150" s="252"/>
    </row>
    <row r="151" ht="11.25" customHeight="1" thickBot="1"/>
    <row r="152" spans="14:32" ht="11.25" customHeight="1" thickBot="1">
      <c r="N152" s="10"/>
      <c r="Q152" s="347"/>
      <c r="R152" s="347"/>
      <c r="S152" s="348"/>
      <c r="T152" s="22" t="s">
        <v>1</v>
      </c>
      <c r="U152" s="254" t="s">
        <v>2</v>
      </c>
      <c r="V152" s="255"/>
      <c r="W152" s="22">
        <v>1</v>
      </c>
      <c r="X152" s="95">
        <v>2</v>
      </c>
      <c r="Y152" s="96" t="s">
        <v>3</v>
      </c>
      <c r="Z152" s="28" t="s">
        <v>4</v>
      </c>
      <c r="AA152" s="28" t="s">
        <v>5</v>
      </c>
      <c r="AB152" s="97" t="s">
        <v>6</v>
      </c>
      <c r="AC152" s="2"/>
      <c r="AD152" s="2"/>
      <c r="AE152" s="11"/>
      <c r="AF152" s="11"/>
    </row>
    <row r="153" spans="10:45" ht="11.25" customHeight="1">
      <c r="J153" s="36"/>
      <c r="K153" s="36"/>
      <c r="L153" s="36"/>
      <c r="N153" s="30" t="s">
        <v>67</v>
      </c>
      <c r="Q153" s="259"/>
      <c r="R153" s="217"/>
      <c r="S153" s="260" t="s">
        <v>10</v>
      </c>
      <c r="T153" s="281">
        <v>1</v>
      </c>
      <c r="U153" s="282">
        <f>IF(AND(N154&lt;&gt;"",N155&lt;&gt;""),CONCATENATE(VLOOKUP(N154,'[1]zawodnicy'!$A:$E,1,FALSE)," ",VLOOKUP(N154,'[1]zawodnicy'!$A:$E,2,FALSE)," ",VLOOKUP(N154,'[1]zawodnicy'!$A:$E,3,FALSE)," - ",VLOOKUP(N154,'[1]zawodnicy'!$A:$E,4,FALSE)),"")</f>
      </c>
      <c r="V153" s="319"/>
      <c r="W153" s="98"/>
      <c r="X153" s="100" t="str">
        <f>IF(SUM(AN156:AO156)=0,"",AN156&amp;":"&amp;AO156)</f>
        <v>21:23</v>
      </c>
      <c r="Y153" s="323" t="str">
        <f>IF(SUM(AX156:AY156)=0,"",BD156&amp;":"&amp;BE156)</f>
        <v>35:44</v>
      </c>
      <c r="Z153" s="289" t="str">
        <f>IF(SUM(AX156:AY156)=0,"",BF156&amp;":"&amp;BG156)</f>
        <v>0:2</v>
      </c>
      <c r="AA153" s="289" t="str">
        <f>IF(SUM(AX156:AY156)=0,"",BH156&amp;":"&amp;BI156)</f>
        <v>0:1</v>
      </c>
      <c r="AB153" s="291">
        <f>IF(SUM(BH156:BH157)&gt;0,BJ156,"")</f>
        <v>2</v>
      </c>
      <c r="AC153" s="2"/>
      <c r="AD153" s="2"/>
      <c r="AE153" s="11"/>
      <c r="AF153" s="11"/>
      <c r="AG153" s="13"/>
      <c r="AH153" s="256" t="s">
        <v>7</v>
      </c>
      <c r="AI153" s="256"/>
      <c r="AJ153" s="256"/>
      <c r="AK153" s="256"/>
      <c r="AL153" s="256"/>
      <c r="AM153" s="256"/>
      <c r="AN153" s="256" t="s">
        <v>8</v>
      </c>
      <c r="AO153" s="256"/>
      <c r="AP153" s="256"/>
      <c r="AQ153" s="256"/>
      <c r="AR153" s="256"/>
      <c r="AS153" s="256"/>
    </row>
    <row r="154" spans="10:59" ht="11.25" customHeight="1" thickBot="1">
      <c r="J154" s="9"/>
      <c r="K154" s="9"/>
      <c r="L154" s="9"/>
      <c r="N154" s="34" t="s">
        <v>68</v>
      </c>
      <c r="Q154" s="259"/>
      <c r="R154" s="217"/>
      <c r="S154" s="260"/>
      <c r="T154" s="261"/>
      <c r="U154" s="263" t="str">
        <f>IF(AND(N154&lt;&gt;"",N155=""),CONCATENATE(VLOOKUP(N154,'[1]zawodnicy'!$A:$E,1,FALSE)," ",VLOOKUP(N154,'[1]zawodnicy'!$A:$E,2,FALSE)," ",VLOOKUP(N154,'[1]zawodnicy'!$A:$E,3,FALSE)," - ",VLOOKUP(N154,'[1]zawodnicy'!$A:$E,4,FALSE)),"")</f>
        <v>D0007 Karolina DZIEKAN - Mielec</v>
      </c>
      <c r="V154" s="264"/>
      <c r="W154" s="31"/>
      <c r="X154" s="63" t="str">
        <f>IF(SUM(AP156:AQ156)=0,"",AP156&amp;":"&amp;AQ156)</f>
        <v>14:21</v>
      </c>
      <c r="Y154" s="324"/>
      <c r="Z154" s="265"/>
      <c r="AA154" s="265"/>
      <c r="AB154" s="266"/>
      <c r="AC154" s="2"/>
      <c r="AD154" s="2"/>
      <c r="AE154" s="11"/>
      <c r="AF154" s="11"/>
      <c r="AG154" s="13"/>
      <c r="BD154" s="17">
        <f>SUM(BD156:BD158)</f>
        <v>79</v>
      </c>
      <c r="BE154" s="17">
        <f>SUM(BE156:BE158)</f>
        <v>79</v>
      </c>
      <c r="BF154" s="17">
        <f>SUM(BF156:BF158)</f>
        <v>2</v>
      </c>
      <c r="BG154" s="17">
        <f>SUM(BG156:BG158)</f>
        <v>2</v>
      </c>
    </row>
    <row r="155" spans="10:63" ht="11.25" customHeight="1" thickBot="1">
      <c r="J155" s="9"/>
      <c r="K155" s="36"/>
      <c r="L155" s="36"/>
      <c r="N155" s="37"/>
      <c r="O155" s="36"/>
      <c r="P155" s="36"/>
      <c r="Q155" s="259"/>
      <c r="R155" s="217"/>
      <c r="S155" s="260"/>
      <c r="T155" s="262"/>
      <c r="U155" s="267">
        <f>IF(N155&lt;&gt;"",CONCATENATE(VLOOKUP(N155,'[1]zawodnicy'!$A:$E,1,FALSE)," ",VLOOKUP(N155,'[1]zawodnicy'!$A:$E,2,FALSE)," ",VLOOKUP(N155,'[1]zawodnicy'!$A:$E,3,FALSE)," - ",VLOOKUP(N155,'[1]zawodnicy'!$A:$E,4,FALSE)),"")</f>
      </c>
      <c r="V155" s="268"/>
      <c r="W155" s="31"/>
      <c r="X155" s="73">
        <f>IF(SUM(AR156:AS156)=0,"",AR156&amp;":"&amp;AS156)</f>
      </c>
      <c r="Y155" s="325"/>
      <c r="Z155" s="290"/>
      <c r="AA155" s="290"/>
      <c r="AB155" s="292"/>
      <c r="AC155" s="2"/>
      <c r="AD155" s="2"/>
      <c r="AE155" s="11"/>
      <c r="AF155" s="11"/>
      <c r="AG155" s="13"/>
      <c r="AH155" s="293" t="s">
        <v>12</v>
      </c>
      <c r="AI155" s="294"/>
      <c r="AJ155" s="274" t="s">
        <v>13</v>
      </c>
      <c r="AK155" s="294"/>
      <c r="AL155" s="274" t="s">
        <v>14</v>
      </c>
      <c r="AM155" s="295"/>
      <c r="AN155" s="293" t="s">
        <v>12</v>
      </c>
      <c r="AO155" s="294"/>
      <c r="AP155" s="274" t="s">
        <v>13</v>
      </c>
      <c r="AQ155" s="294"/>
      <c r="AR155" s="274" t="s">
        <v>14</v>
      </c>
      <c r="AS155" s="295"/>
      <c r="AT155" s="11"/>
      <c r="AU155" s="11"/>
      <c r="AV155" s="293">
        <v>1</v>
      </c>
      <c r="AW155" s="294"/>
      <c r="AX155" s="274">
        <v>2</v>
      </c>
      <c r="AY155" s="295"/>
      <c r="AZ155" s="349"/>
      <c r="BA155" s="349"/>
      <c r="BD155" s="293" t="s">
        <v>3</v>
      </c>
      <c r="BE155" s="295"/>
      <c r="BF155" s="293" t="s">
        <v>4</v>
      </c>
      <c r="BG155" s="295"/>
      <c r="BH155" s="293" t="s">
        <v>5</v>
      </c>
      <c r="BI155" s="295"/>
      <c r="BJ155" s="40" t="s">
        <v>6</v>
      </c>
      <c r="BK155" s="18">
        <f>SUM(BK156:BK158)</f>
        <v>0</v>
      </c>
    </row>
    <row r="156" spans="1:63" ht="11.25" customHeight="1" thickBot="1">
      <c r="A156" s="17">
        <f>S156</f>
        <v>65</v>
      </c>
      <c r="B156" s="2" t="str">
        <f>IF(N154="","",N154)</f>
        <v>D0007</v>
      </c>
      <c r="C156" s="2">
        <f>IF(N155="","",N155)</f>
      </c>
      <c r="D156" s="2" t="str">
        <f>IF(N157="","",N157)</f>
        <v>K0031</v>
      </c>
      <c r="E156" s="2">
        <f>IF(N158="","",N158)</f>
      </c>
      <c r="J156" s="9"/>
      <c r="K156" s="9"/>
      <c r="L156" s="9"/>
      <c r="M156" s="41" t="str">
        <f>N153</f>
        <v>Kobiet</v>
      </c>
      <c r="O156" s="36"/>
      <c r="P156" s="36"/>
      <c r="Q156" s="42">
        <f>IF(AT156&gt;0,"",IF(A156=0,"",IF(VLOOKUP(A156,'[1]plan gier'!A:S,19,FALSE)="","",VLOOKUP(A156,'[1]plan gier'!A:S,19,FALSE))))</f>
      </c>
      <c r="R156" s="43"/>
      <c r="S156" s="90">
        <v>65</v>
      </c>
      <c r="T156" s="269">
        <v>2</v>
      </c>
      <c r="U156" s="270">
        <f>IF(AND(N157&lt;&gt;"",N158&lt;&gt;""),CONCATENATE(VLOOKUP(N157,'[1]zawodnicy'!$A:$E,1,FALSE)," ",VLOOKUP(N157,'[1]zawodnicy'!$A:$E,2,FALSE)," ",VLOOKUP(N157,'[1]zawodnicy'!$A:$E,3,FALSE)," - ",VLOOKUP(N157,'[1]zawodnicy'!$A:$E,4,FALSE)),"")</f>
      </c>
      <c r="V156" s="271"/>
      <c r="W156" s="45" t="str">
        <f>IF(SUM(AN156:AO156)=0,"",AO156&amp;":"&amp;AN156)</f>
        <v>23:21</v>
      </c>
      <c r="X156" s="116"/>
      <c r="Y156" s="333" t="str">
        <f>IF(SUM(AV157:AW157)=0,"",BD157&amp;":"&amp;BE157)</f>
        <v>44:35</v>
      </c>
      <c r="Z156" s="272" t="str">
        <f>IF(SUM(AV157:AW157)=0,"",BF157&amp;":"&amp;BG157)</f>
        <v>2:0</v>
      </c>
      <c r="AA156" s="272" t="str">
        <f>IF(SUM(AV157:AW157)=0,"",BH157&amp;":"&amp;BI157)</f>
        <v>1:0</v>
      </c>
      <c r="AB156" s="275">
        <f>IF(SUM(BH156:BH157)&gt;0,BJ157,"")</f>
        <v>1</v>
      </c>
      <c r="AC156" s="2"/>
      <c r="AD156" s="2"/>
      <c r="AE156" s="11"/>
      <c r="AF156" s="11"/>
      <c r="AG156" s="111" t="s">
        <v>22</v>
      </c>
      <c r="AH156" s="83">
        <f>IF(ISBLANK(S156),"",VLOOKUP(S156,'[1]plan gier'!$X:$AN,12,FALSE))</f>
        <v>21</v>
      </c>
      <c r="AI156" s="80">
        <f>IF(ISBLANK(S156),"",VLOOKUP(S156,'[1]plan gier'!$X:$AN,13,FALSE))</f>
        <v>23</v>
      </c>
      <c r="AJ156" s="80">
        <f>IF(ISBLANK(S156),"",VLOOKUP(S156,'[1]plan gier'!$X:$AN,14,FALSE))</f>
        <v>14</v>
      </c>
      <c r="AK156" s="80">
        <f>IF(ISBLANK(S156),"",VLOOKUP(S156,'[1]plan gier'!$X:$AN,15,FALSE))</f>
        <v>21</v>
      </c>
      <c r="AL156" s="80">
        <f>IF(ISBLANK(S156),"",VLOOKUP(S156,'[1]plan gier'!$X:$AN,16,FALSE))</f>
        <v>0</v>
      </c>
      <c r="AM156" s="80">
        <f>IF(ISBLANK(S156),"",VLOOKUP(S156,'[1]plan gier'!$X:$AN,17,FALSE))</f>
        <v>0</v>
      </c>
      <c r="AN156" s="112">
        <f aca="true" t="shared" si="16" ref="AN156:AS156">IF(AH156="",0,AH156)</f>
        <v>21</v>
      </c>
      <c r="AO156" s="80">
        <f t="shared" si="16"/>
        <v>23</v>
      </c>
      <c r="AP156" s="113">
        <f t="shared" si="16"/>
        <v>14</v>
      </c>
      <c r="AQ156" s="80">
        <f t="shared" si="16"/>
        <v>21</v>
      </c>
      <c r="AR156" s="113">
        <f t="shared" si="16"/>
        <v>0</v>
      </c>
      <c r="AS156" s="85">
        <f t="shared" si="16"/>
        <v>0</v>
      </c>
      <c r="AT156" s="103">
        <f>SUM(AN156:AS156)</f>
        <v>79</v>
      </c>
      <c r="AU156" s="12">
        <v>1</v>
      </c>
      <c r="AV156" s="104"/>
      <c r="AW156" s="105"/>
      <c r="AX156" s="52">
        <f>IF(AH156&gt;AI156,1,0)+IF(AJ156&gt;AK156,1,0)+IF(AL156&gt;AM156,1,0)</f>
        <v>0</v>
      </c>
      <c r="AY156" s="53">
        <f>AV157</f>
        <v>2</v>
      </c>
      <c r="AZ156" s="10"/>
      <c r="BA156" s="10"/>
      <c r="BD156" s="51">
        <f>AN156+AP156+AR156</f>
        <v>35</v>
      </c>
      <c r="BE156" s="53">
        <f>AO156+AQ156+AS156</f>
        <v>44</v>
      </c>
      <c r="BF156" s="51">
        <f>AX156</f>
        <v>0</v>
      </c>
      <c r="BG156" s="53">
        <f>AY156</f>
        <v>2</v>
      </c>
      <c r="BH156" s="51">
        <f>IF(AX156&gt;AY156,1,0)</f>
        <v>0</v>
      </c>
      <c r="BI156" s="56">
        <f>IF(AY156&gt;AX156,1,0)</f>
        <v>1</v>
      </c>
      <c r="BJ156" s="106">
        <f>IF(BH156+BI156=0,"",IF(BK156=MAX(BK156:BK157),1,2))</f>
        <v>2</v>
      </c>
      <c r="BK156" s="18">
        <f>IF(BH156+BI156&lt;&gt;0,BH156-BI156+(BF156-BG156)/100+(BD156-BE156)/10000,-2)</f>
        <v>-1.0209</v>
      </c>
    </row>
    <row r="157" spans="1:63" ht="11.25" customHeight="1" thickBot="1">
      <c r="A157" s="17"/>
      <c r="J157" s="9"/>
      <c r="K157" s="17"/>
      <c r="L157" s="17"/>
      <c r="M157" s="41"/>
      <c r="N157" s="34" t="s">
        <v>69</v>
      </c>
      <c r="Q157" s="43"/>
      <c r="R157" s="43"/>
      <c r="S157" s="90"/>
      <c r="T157" s="261"/>
      <c r="U157" s="263" t="str">
        <f>IF(AND(N157&lt;&gt;"",N158=""),CONCATENATE(VLOOKUP(N157,'[1]zawodnicy'!$A:$E,1,FALSE)," ",VLOOKUP(N157,'[1]zawodnicy'!$A:$E,2,FALSE)," ",VLOOKUP(N157,'[1]zawodnicy'!$A:$E,3,FALSE)," - ",VLOOKUP(N157,'[1]zawodnicy'!$A:$E,4,FALSE)),"")</f>
        <v>K0031 Wiktoria KAPINOS - Mielec</v>
      </c>
      <c r="V157" s="264"/>
      <c r="W157" s="61" t="str">
        <f>IF(SUM(AP156:AQ156)=0,"",AQ156&amp;":"&amp;AP156)</f>
        <v>21:14</v>
      </c>
      <c r="X157" s="117"/>
      <c r="Y157" s="324"/>
      <c r="Z157" s="265"/>
      <c r="AA157" s="265"/>
      <c r="AB157" s="266"/>
      <c r="AC157" s="2"/>
      <c r="AD157" s="2"/>
      <c r="AE157" s="11"/>
      <c r="AF157" s="11"/>
      <c r="AG157" s="195"/>
      <c r="AH157" s="13"/>
      <c r="AI157" s="13"/>
      <c r="AJ157" s="13"/>
      <c r="AK157" s="13"/>
      <c r="AL157" s="13"/>
      <c r="AM157" s="13"/>
      <c r="AN157" s="10"/>
      <c r="AO157" s="10"/>
      <c r="AP157" s="10"/>
      <c r="AQ157" s="10"/>
      <c r="AR157" s="10"/>
      <c r="AS157" s="10"/>
      <c r="AT157" s="12"/>
      <c r="AU157" s="12">
        <v>2</v>
      </c>
      <c r="AV157" s="83">
        <f>IF(AH156&lt;AI156,1,0)+IF(AJ156&lt;AK156,1,0)+IF(AL156&lt;AM156,1,0)</f>
        <v>2</v>
      </c>
      <c r="AW157" s="80">
        <f>AX156</f>
        <v>0</v>
      </c>
      <c r="AX157" s="114"/>
      <c r="AY157" s="115"/>
      <c r="AZ157" s="10"/>
      <c r="BA157" s="10"/>
      <c r="BD157" s="83">
        <f>AO156+AQ156+AS156</f>
        <v>44</v>
      </c>
      <c r="BE157" s="85">
        <f>AN156+AP156+AR156</f>
        <v>35</v>
      </c>
      <c r="BF157" s="83">
        <f>AV157</f>
        <v>2</v>
      </c>
      <c r="BG157" s="85">
        <f>AW157</f>
        <v>0</v>
      </c>
      <c r="BH157" s="83">
        <f>IF(AV157&gt;AW157,1,0)</f>
        <v>1</v>
      </c>
      <c r="BI157" s="84">
        <f>IF(AW157&gt;AV157,1,0)</f>
        <v>0</v>
      </c>
      <c r="BJ157" s="86">
        <f>IF(BH157+BI157=0,"",IF(BK157=MAX(BK156:BK157),1,2))</f>
        <v>1</v>
      </c>
      <c r="BK157" s="18">
        <f>IF(BH157+BI157&lt;&gt;0,BH157-BI157+(BF157-BG157)/100+(BD157-BE157)/10000,-2)</f>
        <v>1.0209</v>
      </c>
    </row>
    <row r="158" spans="1:62" ht="11.25" customHeight="1" thickBot="1">
      <c r="A158" s="2"/>
      <c r="J158" s="2"/>
      <c r="K158" s="2"/>
      <c r="L158" s="2"/>
      <c r="N158" s="37"/>
      <c r="O158" s="36"/>
      <c r="P158" s="36"/>
      <c r="Q158" s="111"/>
      <c r="R158" s="111"/>
      <c r="S158" s="2"/>
      <c r="T158" s="286"/>
      <c r="U158" s="296">
        <f>IF(N158&lt;&gt;"",CONCATENATE(VLOOKUP(N158,'[1]zawodnicy'!$A:$E,1,FALSE)," ",VLOOKUP(N158,'[1]zawodnicy'!$A:$E,2,FALSE)," ",VLOOKUP(N158,'[1]zawodnicy'!$A:$E,3,FALSE)," - ",VLOOKUP(N158,'[1]zawodnicy'!$A:$E,4,FALSE)),"")</f>
      </c>
      <c r="V158" s="297"/>
      <c r="W158" s="92">
        <f>IF(SUM(AR156:AS156)=0,"",AS156&amp;":"&amp;AR156)</f>
      </c>
      <c r="X158" s="94"/>
      <c r="Y158" s="346"/>
      <c r="Z158" s="287"/>
      <c r="AA158" s="287"/>
      <c r="AB158" s="288"/>
      <c r="AC158" s="2"/>
      <c r="AD158" s="2"/>
      <c r="AE158" s="11"/>
      <c r="AF158" s="11"/>
      <c r="AG158" s="2"/>
      <c r="AH158" s="2"/>
      <c r="AI158" s="2"/>
      <c r="AJ158" s="2"/>
      <c r="AK158" s="2"/>
      <c r="AL158" s="2"/>
      <c r="AM158" s="2"/>
      <c r="AN158" s="15"/>
      <c r="AO158" s="15"/>
      <c r="AP158" s="15"/>
      <c r="AQ158" s="15"/>
      <c r="AR158" s="15"/>
      <c r="AS158" s="15"/>
      <c r="AT158" s="12"/>
      <c r="AU158" s="12"/>
      <c r="AV158" s="13"/>
      <c r="AW158" s="13"/>
      <c r="AX158" s="13"/>
      <c r="AY158" s="13"/>
      <c r="AZ158" s="10"/>
      <c r="BA158" s="10"/>
      <c r="BD158" s="13"/>
      <c r="BE158" s="13"/>
      <c r="BF158" s="13"/>
      <c r="BG158" s="13"/>
      <c r="BH158" s="13"/>
      <c r="BI158" s="13"/>
      <c r="BJ158" s="11"/>
    </row>
    <row r="159" ht="11.25" customHeight="1"/>
    <row r="160" ht="11.25" customHeight="1"/>
    <row r="161" spans="13:31" ht="11.25" customHeight="1">
      <c r="M161" s="15"/>
      <c r="N161" s="16" t="s">
        <v>70</v>
      </c>
      <c r="Q161" s="252" t="str">
        <f>"Gra "&amp;N161</f>
        <v>Gra Open</v>
      </c>
      <c r="R161" s="252"/>
      <c r="S161" s="252"/>
      <c r="T161" s="252"/>
      <c r="U161" s="252"/>
      <c r="V161" s="252"/>
      <c r="W161" s="252"/>
      <c r="X161" s="252"/>
      <c r="Y161" s="252"/>
      <c r="Z161" s="252"/>
      <c r="AA161" s="252"/>
      <c r="AB161" s="252"/>
      <c r="AC161" s="252"/>
      <c r="AD161" s="252"/>
      <c r="AE161" s="252"/>
    </row>
    <row r="162" ht="11.25" customHeight="1" thickBot="1"/>
    <row r="163" spans="14:45" ht="11.25" customHeight="1" thickBot="1">
      <c r="N163" s="20"/>
      <c r="O163" s="21">
        <v>1</v>
      </c>
      <c r="Q163" s="252" t="str">
        <f>"Grupa "&amp;O163&amp;"."</f>
        <v>Grupa 1.</v>
      </c>
      <c r="R163" s="252"/>
      <c r="S163" s="253"/>
      <c r="T163" s="22" t="s">
        <v>1</v>
      </c>
      <c r="U163" s="254" t="s">
        <v>2</v>
      </c>
      <c r="V163" s="255"/>
      <c r="W163" s="22">
        <v>1</v>
      </c>
      <c r="X163" s="23">
        <v>2</v>
      </c>
      <c r="Y163" s="24">
        <v>3</v>
      </c>
      <c r="Z163" s="25">
        <v>4</v>
      </c>
      <c r="AA163" s="26" t="s">
        <v>3</v>
      </c>
      <c r="AB163" s="27" t="s">
        <v>4</v>
      </c>
      <c r="AC163" s="28" t="s">
        <v>5</v>
      </c>
      <c r="AD163" s="29" t="s">
        <v>6</v>
      </c>
      <c r="AE163" s="11"/>
      <c r="AF163" s="11"/>
      <c r="AH163" s="256" t="s">
        <v>7</v>
      </c>
      <c r="AI163" s="256"/>
      <c r="AJ163" s="256"/>
      <c r="AK163" s="256"/>
      <c r="AL163" s="256"/>
      <c r="AM163" s="256"/>
      <c r="AN163" s="256" t="s">
        <v>8</v>
      </c>
      <c r="AO163" s="256"/>
      <c r="AP163" s="256"/>
      <c r="AQ163" s="256"/>
      <c r="AR163" s="256"/>
      <c r="AS163" s="256"/>
    </row>
    <row r="164" spans="14:32" ht="11.25" customHeight="1">
      <c r="N164" s="30" t="s">
        <v>70</v>
      </c>
      <c r="Q164" s="259" t="s">
        <v>9</v>
      </c>
      <c r="R164" s="259"/>
      <c r="S164" s="260" t="s">
        <v>10</v>
      </c>
      <c r="T164" s="261">
        <v>1</v>
      </c>
      <c r="U164" s="263">
        <f>IF(AND(N165&lt;&gt;"",N166&lt;&gt;""),CONCATENATE(VLOOKUP(N165,'[1]zawodnicy'!$A:$E,1,FALSE)," ",VLOOKUP(N165,'[1]zawodnicy'!$A:$E,2,FALSE)," ",VLOOKUP(N165,'[1]zawodnicy'!$A:$E,3,FALSE)," - ",VLOOKUP(N165,'[1]zawodnicy'!$A:$E,4,FALSE)),"")</f>
      </c>
      <c r="V164" s="264"/>
      <c r="W164" s="31"/>
      <c r="X164" s="32" t="str">
        <f>IF(SUM(AN172:AO172)=0,"",AN172&amp;":"&amp;AO172)</f>
        <v>21:8</v>
      </c>
      <c r="Y164" s="32" t="str">
        <f>IF(SUM(AN167:AO167)=0,"",AN167&amp;":"&amp;AO167)</f>
        <v>21:12</v>
      </c>
      <c r="Z164" s="33" t="str">
        <f>IF(SUM(AN169:AO169)=0,"",AN169&amp;":"&amp;AO169)</f>
        <v>21:19</v>
      </c>
      <c r="AA164" s="261" t="str">
        <f>IF(SUM(AX167:BC167)=0,"",BD167&amp;":"&amp;BE167)</f>
        <v>126:63</v>
      </c>
      <c r="AB164" s="265" t="str">
        <f>IF(SUM(AX167:BC167)=0,"",BF167&amp;":"&amp;BG167)</f>
        <v>6:0</v>
      </c>
      <c r="AC164" s="265" t="str">
        <f>IF(SUM(AX167:BC167)=0,"",BH167&amp;":"&amp;BI167)</f>
        <v>3:0</v>
      </c>
      <c r="AD164" s="266">
        <f>IF(SUM(BH167:BH170)&gt;0,BJ167,"")</f>
        <v>1</v>
      </c>
      <c r="AE164" s="11"/>
      <c r="AF164" s="11"/>
    </row>
    <row r="165" spans="8:32" ht="11.25" customHeight="1" thickBot="1">
      <c r="H165" s="9"/>
      <c r="I165" s="2" t="str">
        <f>"1"&amp;O163&amp;N164</f>
        <v>11Open</v>
      </c>
      <c r="J165" s="9" t="str">
        <f>IF(AD164="","",IF(AD164=1,N165,IF(AD167=1,N168,IF(AD170=1,N171,IF(AD173=1,N174,"")))))</f>
        <v>P0003</v>
      </c>
      <c r="K165" s="9">
        <f>IF(AD164="","",IF(AD164=1,N166,IF(AD167=1,N169,IF(AD170=1,N172,IF(AD173=1,N175,"")))))</f>
        <v>0</v>
      </c>
      <c r="L165" s="9"/>
      <c r="N165" s="34" t="s">
        <v>20</v>
      </c>
      <c r="O165" s="35">
        <f>IF(O163&gt;0,(O163&amp;1)*1,"")</f>
        <v>11</v>
      </c>
      <c r="Q165" s="259"/>
      <c r="R165" s="259"/>
      <c r="S165" s="260"/>
      <c r="T165" s="261"/>
      <c r="U165" s="263" t="str">
        <f>IF(AND(N165&lt;&gt;"",N166=""),CONCATENATE(VLOOKUP(N165,'[1]zawodnicy'!$A:$E,1,FALSE)," ",VLOOKUP(N165,'[1]zawodnicy'!$A:$E,2,FALSE)," ",VLOOKUP(N165,'[1]zawodnicy'!$A:$E,3,FALSE)," - ",VLOOKUP(N165,'[1]zawodnicy'!$A:$E,4,FALSE)),"")</f>
        <v>P0003 Łukasz PIENIĄŻEK - Rzeszów</v>
      </c>
      <c r="V165" s="264"/>
      <c r="W165" s="31"/>
      <c r="X165" s="32" t="str">
        <f>IF(SUM(AP172:AQ172)=0,"",AP172&amp;":"&amp;AQ172)</f>
        <v>21:5</v>
      </c>
      <c r="Y165" s="32" t="str">
        <f>IF(SUM(AP167:AQ167)=0,"",AP167&amp;":"&amp;AQ167)</f>
        <v>21:13</v>
      </c>
      <c r="Z165" s="33" t="str">
        <f>IF(SUM(AP169:AQ169)=0,"",AP169&amp;":"&amp;AQ169)</f>
        <v>21:6</v>
      </c>
      <c r="AA165" s="261"/>
      <c r="AB165" s="265"/>
      <c r="AC165" s="265"/>
      <c r="AD165" s="266"/>
      <c r="AE165" s="11"/>
      <c r="AF165" s="11"/>
    </row>
    <row r="166" spans="10:62" ht="11.25" customHeight="1" thickBot="1">
      <c r="J166" s="9"/>
      <c r="K166" s="36"/>
      <c r="L166" s="36"/>
      <c r="N166" s="37"/>
      <c r="O166" s="36"/>
      <c r="P166" s="36"/>
      <c r="Q166" s="259"/>
      <c r="R166" s="259"/>
      <c r="S166" s="260"/>
      <c r="T166" s="262"/>
      <c r="U166" s="267">
        <f>IF(N166&lt;&gt;"",CONCATENATE(VLOOKUP(N166,'[1]zawodnicy'!$A:$E,1,FALSE)," ",VLOOKUP(N166,'[1]zawodnicy'!$A:$E,2,FALSE)," ",VLOOKUP(N166,'[1]zawodnicy'!$A:$E,3,FALSE)," - ",VLOOKUP(N166,'[1]zawodnicy'!$A:$E,4,FALSE)),"")</f>
      </c>
      <c r="V166" s="268"/>
      <c r="W166" s="31"/>
      <c r="X166" s="38">
        <f>IF(SUM(AR172:AS172)=0,"",AR172&amp;":"&amp;AS172)</f>
      </c>
      <c r="Y166" s="38">
        <f>IF(SUM(AR167:AS167)=0,"",AR167&amp;":"&amp;AS167)</f>
      </c>
      <c r="Z166" s="39">
        <f>IF(SUM(AR169:AS169)=0,"",AR169&amp;":"&amp;AS169)</f>
      </c>
      <c r="AA166" s="261"/>
      <c r="AB166" s="265"/>
      <c r="AC166" s="265"/>
      <c r="AD166" s="266"/>
      <c r="AE166" s="11"/>
      <c r="AF166" s="11"/>
      <c r="AH166" s="258" t="s">
        <v>12</v>
      </c>
      <c r="AI166" s="257"/>
      <c r="AJ166" s="257" t="s">
        <v>13</v>
      </c>
      <c r="AK166" s="257"/>
      <c r="AL166" s="257" t="s">
        <v>14</v>
      </c>
      <c r="AM166" s="257"/>
      <c r="AN166" s="258" t="s">
        <v>12</v>
      </c>
      <c r="AO166" s="257"/>
      <c r="AP166" s="257" t="s">
        <v>13</v>
      </c>
      <c r="AQ166" s="257"/>
      <c r="AR166" s="257" t="s">
        <v>14</v>
      </c>
      <c r="AS166" s="273"/>
      <c r="AV166" s="258">
        <v>1</v>
      </c>
      <c r="AW166" s="257"/>
      <c r="AX166" s="257">
        <v>2</v>
      </c>
      <c r="AY166" s="257"/>
      <c r="AZ166" s="257">
        <v>3</v>
      </c>
      <c r="BA166" s="257"/>
      <c r="BB166" s="257">
        <v>4</v>
      </c>
      <c r="BC166" s="273"/>
      <c r="BD166" s="258" t="s">
        <v>3</v>
      </c>
      <c r="BE166" s="273"/>
      <c r="BF166" s="258" t="s">
        <v>4</v>
      </c>
      <c r="BG166" s="273"/>
      <c r="BH166" s="258" t="s">
        <v>5</v>
      </c>
      <c r="BI166" s="274"/>
      <c r="BJ166" s="40" t="s">
        <v>6</v>
      </c>
    </row>
    <row r="167" spans="1:63" ht="11.25" customHeight="1">
      <c r="A167" s="17">
        <f aca="true" t="shared" si="17" ref="A167:A172">S167</f>
        <v>47</v>
      </c>
      <c r="B167" s="17" t="str">
        <f>IF(N165="","",N165)</f>
        <v>P0003</v>
      </c>
      <c r="C167" s="17">
        <f>IF(N166="","",N166)</f>
      </c>
      <c r="D167" s="17" t="str">
        <f>IF(N171="","",N171)</f>
        <v>M0012</v>
      </c>
      <c r="E167" s="17">
        <f>IF(N172="","",N172)</f>
      </c>
      <c r="H167" s="9"/>
      <c r="I167" s="2" t="str">
        <f>"2"&amp;O163&amp;N164</f>
        <v>21Open</v>
      </c>
      <c r="J167" s="9" t="str">
        <f>IF(AD167="","",IF(AD164=2,N165,IF(AD167=2,N168,IF(AD170=2,N171,IF(AD173=2,N174,"")))))</f>
        <v>M0012</v>
      </c>
      <c r="K167" s="9">
        <f>IF(AD167="","",IF(AD164=2,N166,IF(AD167=2,N169,IF(AD170=2,N172,IF(AD173=2,N175,"")))))</f>
        <v>0</v>
      </c>
      <c r="L167" s="9"/>
      <c r="M167" s="41" t="str">
        <f>N164</f>
        <v>Open</v>
      </c>
      <c r="O167" s="36"/>
      <c r="P167" s="36"/>
      <c r="Q167" s="42">
        <f>IF(AT167&gt;0,"",IF(A167=0,"",IF(VLOOKUP(A167,'[1]plan gier'!A:S,19,FALSE)="","",VLOOKUP(A167,'[1]plan gier'!A:S,19,FALSE))))</f>
      </c>
      <c r="R167" s="43" t="s">
        <v>15</v>
      </c>
      <c r="S167" s="44">
        <v>47</v>
      </c>
      <c r="T167" s="269">
        <v>2</v>
      </c>
      <c r="U167" s="270">
        <f>IF(AND(N168&lt;&gt;"",N169&lt;&gt;""),CONCATENATE(VLOOKUP(N168,'[1]zawodnicy'!$A:$E,1,FALSE)," ",VLOOKUP(N168,'[1]zawodnicy'!$A:$E,2,FALSE)," ",VLOOKUP(N168,'[1]zawodnicy'!$A:$E,3,FALSE)," - ",VLOOKUP(N168,'[1]zawodnicy'!$A:$E,4,FALSE)),"")</f>
      </c>
      <c r="V167" s="271"/>
      <c r="W167" s="45" t="str">
        <f>IF(SUM(AN172:AO172)=0,"",AO172&amp;":"&amp;AN172)</f>
        <v>8:21</v>
      </c>
      <c r="X167" s="46"/>
      <c r="Y167" s="47" t="str">
        <f>IF(SUM(AN170:AO170)=0,"",AN170&amp;":"&amp;AO170)</f>
        <v>21:17</v>
      </c>
      <c r="Z167" s="48" t="str">
        <f>IF(SUM(AN168:AO168)=0,"",AN168&amp;":"&amp;AO168)</f>
        <v>5:21</v>
      </c>
      <c r="AA167" s="269" t="str">
        <f>IF(SUM(AV168:AW168,AZ168:BC168)=0,"",BD168&amp;":"&amp;BE168)</f>
        <v>83:143</v>
      </c>
      <c r="AB167" s="272" t="str">
        <f>IF(SUM(AV168:AW168,AZ168:BC168)=0,"",BF168&amp;":"&amp;BG168)</f>
        <v>1:6</v>
      </c>
      <c r="AC167" s="272" t="str">
        <f>IF(SUM(AV168:AW168,AZ168:BC168)=0,"",BH168&amp;":"&amp;BI168)</f>
        <v>0:3</v>
      </c>
      <c r="AD167" s="275">
        <f>IF(SUM(BH167:BH170)&gt;0,BJ168,"")</f>
        <v>4</v>
      </c>
      <c r="AE167" s="11"/>
      <c r="AF167" s="11"/>
      <c r="AG167" s="43" t="s">
        <v>15</v>
      </c>
      <c r="AH167" s="49">
        <f>IF(ISBLANK(S167),"",VLOOKUP(S167,'[1]plan gier'!$X:$AN,12,FALSE))</f>
        <v>21</v>
      </c>
      <c r="AI167" s="50">
        <f>IF(ISBLANK(S167),"",VLOOKUP(S167,'[1]plan gier'!$X:$AN,13,FALSE))</f>
        <v>12</v>
      </c>
      <c r="AJ167" s="50">
        <f>IF(ISBLANK(S167),"",VLOOKUP(S167,'[1]plan gier'!$X:$AN,14,FALSE))</f>
        <v>21</v>
      </c>
      <c r="AK167" s="50">
        <f>IF(ISBLANK(S167),"",VLOOKUP(S167,'[1]plan gier'!$X:$AN,15,FALSE))</f>
        <v>13</v>
      </c>
      <c r="AL167" s="50">
        <f>IF(ISBLANK(S167),"",VLOOKUP(S167,'[1]plan gier'!$X:$AN,16,FALSE))</f>
        <v>0</v>
      </c>
      <c r="AM167" s="50">
        <f>IF(ISBLANK(S167),"",VLOOKUP(S167,'[1]plan gier'!$X:$AN,17,FALSE))</f>
        <v>0</v>
      </c>
      <c r="AN167" s="51">
        <f aca="true" t="shared" si="18" ref="AN167:AS172">IF(AH167="",0,AH167)</f>
        <v>21</v>
      </c>
      <c r="AO167" s="52">
        <f t="shared" si="18"/>
        <v>12</v>
      </c>
      <c r="AP167" s="52">
        <f t="shared" si="18"/>
        <v>21</v>
      </c>
      <c r="AQ167" s="52">
        <f t="shared" si="18"/>
        <v>13</v>
      </c>
      <c r="AR167" s="52">
        <f t="shared" si="18"/>
        <v>0</v>
      </c>
      <c r="AS167" s="53">
        <f t="shared" si="18"/>
        <v>0</v>
      </c>
      <c r="AT167" s="54">
        <f aca="true" t="shared" si="19" ref="AT167:AT172">SUM(AN167:AS167)</f>
        <v>67</v>
      </c>
      <c r="AU167" s="19">
        <v>1</v>
      </c>
      <c r="AV167" s="276"/>
      <c r="AW167" s="277"/>
      <c r="AX167" s="52">
        <f>IF(AH172&gt;AI172,1,0)+IF(AJ172&gt;AK172,1,0)+IF(AL172&gt;AM172,1,0)</f>
        <v>2</v>
      </c>
      <c r="AY167" s="52">
        <f>AV168</f>
        <v>0</v>
      </c>
      <c r="AZ167" s="52">
        <f>IF(AH167&gt;AI167,1,0)+IF(AJ167&gt;AK167,1,0)+IF(AL167&gt;AM167,1,0)</f>
        <v>2</v>
      </c>
      <c r="BA167" s="50">
        <f>AV169</f>
        <v>0</v>
      </c>
      <c r="BB167" s="55">
        <f>IF(AH169&gt;AI169,1,0)+IF(AJ169&gt;AK169,1,0)+IF(AL169&gt;AM169,1,0)</f>
        <v>2</v>
      </c>
      <c r="BC167" s="56">
        <f>AV170</f>
        <v>0</v>
      </c>
      <c r="BD167" s="49">
        <f>AN167+AP167+AR167+AN169+AP169+AR169+AN172+AP172+AR172</f>
        <v>126</v>
      </c>
      <c r="BE167" s="57">
        <f>AO167+AQ167+AS167+AO169+AQ169+AS169+AO172+AQ172+AS172</f>
        <v>63</v>
      </c>
      <c r="BF167" s="49">
        <f>AX167+AZ167+BB167</f>
        <v>6</v>
      </c>
      <c r="BG167" s="58">
        <f>AY167+BA167+BC167</f>
        <v>0</v>
      </c>
      <c r="BH167" s="49">
        <f>IF(AX167&gt;AY167,1,0)+IF(AZ167&gt;BA167,1,0)+IF(BB167&gt;BC167,1,0)</f>
        <v>3</v>
      </c>
      <c r="BI167" s="58">
        <f>IF(AY167&gt;AX167,1,0)+IF(BA167&gt;AZ167,1,0)+IF(BC167&gt;BB167,1,0)</f>
        <v>0</v>
      </c>
      <c r="BJ167" s="59">
        <f>IF(BH167+BI167=0,"",IF(BK167=MAX(BK167:BK170),1,IF(BK167=LARGE(BK167:BK170,2),2,IF(BK167=MIN(BK167:BK170),4,3))))</f>
        <v>1</v>
      </c>
      <c r="BK167" s="60">
        <f>IF(BH167+BI167&lt;&gt;0,BH167-BI167+(BF167-BG167)/100+(BD167-BE167)/10000,-3)</f>
        <v>3.0663</v>
      </c>
    </row>
    <row r="168" spans="1:63" ht="11.25" customHeight="1">
      <c r="A168" s="17">
        <f t="shared" si="17"/>
        <v>48</v>
      </c>
      <c r="B168" s="17" t="str">
        <f>IF(N168="","",N168)</f>
        <v>G0011</v>
      </c>
      <c r="C168" s="17">
        <f>IF(N169="","",N169)</f>
      </c>
      <c r="D168" s="17" t="str">
        <f>IF(N174="","",N174)</f>
        <v>K0014</v>
      </c>
      <c r="E168" s="17">
        <f>IF(N175="","",N175)</f>
      </c>
      <c r="J168" s="9"/>
      <c r="K168" s="17"/>
      <c r="L168" s="17"/>
      <c r="M168" s="41" t="str">
        <f>N164</f>
        <v>Open</v>
      </c>
      <c r="N168" s="34" t="s">
        <v>32</v>
      </c>
      <c r="O168" s="35">
        <f>IF(O163&gt;0,(O163&amp;2)*1,"")</f>
        <v>12</v>
      </c>
      <c r="Q168" s="42">
        <f>IF(AT168&gt;0,"",IF(A168=0,"",IF(VLOOKUP(A168,'[1]plan gier'!A:S,19,FALSE)="","",VLOOKUP(A168,'[1]plan gier'!A:S,19,FALSE))))</f>
      </c>
      <c r="R168" s="43" t="s">
        <v>17</v>
      </c>
      <c r="S168" s="44">
        <v>48</v>
      </c>
      <c r="T168" s="261"/>
      <c r="U168" s="263" t="str">
        <f>IF(AND(N168&lt;&gt;"",N169=""),CONCATENATE(VLOOKUP(N168,'[1]zawodnicy'!$A:$E,1,FALSE)," ",VLOOKUP(N168,'[1]zawodnicy'!$A:$E,2,FALSE)," ",VLOOKUP(N168,'[1]zawodnicy'!$A:$E,3,FALSE)," - ",VLOOKUP(N168,'[1]zawodnicy'!$A:$E,4,FALSE)),"")</f>
        <v>G0011 Jakub GERCZAK - Rzeszów</v>
      </c>
      <c r="V168" s="264"/>
      <c r="W168" s="61" t="str">
        <f>IF(SUM(AP172:AQ172)=0,"",AQ172&amp;":"&amp;AP172)</f>
        <v>5:21</v>
      </c>
      <c r="X168" s="62"/>
      <c r="Y168" s="32" t="str">
        <f>IF(SUM(AP170:AQ170)=0,"",AP170&amp;":"&amp;AQ170)</f>
        <v>16:21</v>
      </c>
      <c r="Z168" s="63" t="str">
        <f>IF(SUM(AP168:AQ168)=0,"",AP168&amp;":"&amp;AQ168)</f>
        <v>12:21</v>
      </c>
      <c r="AA168" s="261"/>
      <c r="AB168" s="265"/>
      <c r="AC168" s="265"/>
      <c r="AD168" s="266"/>
      <c r="AE168" s="11"/>
      <c r="AF168" s="11"/>
      <c r="AG168" s="43" t="s">
        <v>17</v>
      </c>
      <c r="AH168" s="51">
        <f>IF(ISBLANK(S168),"",VLOOKUP(S168,'[1]plan gier'!$X:$AN,12,FALSE))</f>
        <v>5</v>
      </c>
      <c r="AI168" s="52">
        <f>IF(ISBLANK(S168),"",VLOOKUP(S168,'[1]plan gier'!$X:$AN,13,FALSE))</f>
        <v>21</v>
      </c>
      <c r="AJ168" s="52">
        <f>IF(ISBLANK(S168),"",VLOOKUP(S168,'[1]plan gier'!$X:$AN,14,FALSE))</f>
        <v>12</v>
      </c>
      <c r="AK168" s="52">
        <f>IF(ISBLANK(S168),"",VLOOKUP(S168,'[1]plan gier'!$X:$AN,15,FALSE))</f>
        <v>21</v>
      </c>
      <c r="AL168" s="52">
        <f>IF(ISBLANK(S168),"",VLOOKUP(S168,'[1]plan gier'!$X:$AN,16,FALSE))</f>
        <v>0</v>
      </c>
      <c r="AM168" s="52">
        <f>IF(ISBLANK(S168),"",VLOOKUP(S168,'[1]plan gier'!$X:$AN,17,FALSE))</f>
        <v>0</v>
      </c>
      <c r="AN168" s="64">
        <f t="shared" si="18"/>
        <v>5</v>
      </c>
      <c r="AO168" s="65">
        <f t="shared" si="18"/>
        <v>21</v>
      </c>
      <c r="AP168" s="65">
        <f t="shared" si="18"/>
        <v>12</v>
      </c>
      <c r="AQ168" s="65">
        <f t="shared" si="18"/>
        <v>21</v>
      </c>
      <c r="AR168" s="65">
        <f t="shared" si="18"/>
        <v>0</v>
      </c>
      <c r="AS168" s="66">
        <f t="shared" si="18"/>
        <v>0</v>
      </c>
      <c r="AT168" s="54">
        <f t="shared" si="19"/>
        <v>59</v>
      </c>
      <c r="AU168" s="19">
        <v>2</v>
      </c>
      <c r="AV168" s="64">
        <f>IF(AH172&lt;AI172,1,0)+IF(AJ172&lt;AK172,1,0)+IF(AL172&lt;AM172,1,0)</f>
        <v>0</v>
      </c>
      <c r="AW168" s="65">
        <f>AX167</f>
        <v>2</v>
      </c>
      <c r="AX168" s="67"/>
      <c r="AY168" s="68"/>
      <c r="AZ168" s="65">
        <f>IF(AH170&gt;AI170,1,0)+IF(AJ170&gt;AK170,1,0)+IF(AL170&gt;AM170,1,0)</f>
        <v>1</v>
      </c>
      <c r="BA168" s="65">
        <f>AX169</f>
        <v>2</v>
      </c>
      <c r="BB168" s="69">
        <f>IF(AH168&gt;AI168,1,0)+IF(AJ168&gt;AK168,1,0)+IF(AL168&gt;AM168,1,0)</f>
        <v>0</v>
      </c>
      <c r="BC168" s="70">
        <f>AX170</f>
        <v>2</v>
      </c>
      <c r="BD168" s="64">
        <f>AN168+AP168+AR168+AN170+AP170+AR170+AO172+AQ172+AS172</f>
        <v>83</v>
      </c>
      <c r="BE168" s="70">
        <f>AO168+AQ168+AS168+AO170+AQ170+AS170+AN172+AP172+AR172</f>
        <v>143</v>
      </c>
      <c r="BF168" s="64">
        <f>AV168+AZ168+BB168</f>
        <v>1</v>
      </c>
      <c r="BG168" s="66">
        <f>AW168+BA168+BC168</f>
        <v>6</v>
      </c>
      <c r="BH168" s="64">
        <f>IF(AV168&gt;AW168,1,0)+IF(AZ168&gt;BA168,1,0)+IF(BB168&gt;BC168,1,0)</f>
        <v>0</v>
      </c>
      <c r="BI168" s="66">
        <f>IF(AW168&gt;AV168,1,0)+IF(BA168&gt;AZ168,1,0)+IF(BC168&gt;BB168,1,0)</f>
        <v>3</v>
      </c>
      <c r="BJ168" s="71">
        <f>IF(BH168+BI168=0,"",IF(BK168=MAX(BK167:BK170),1,IF(BK168=LARGE(BK167:BK170,2),2,IF(BK168=MIN(BK167:BK170),4,3))))</f>
        <v>4</v>
      </c>
      <c r="BK168" s="60">
        <f>IF(BH168+BI168&lt;&gt;0,BH168-BI168+(BF168-BG168)/100+(BD168-BE168)/10000,-3)</f>
        <v>-3.0559999999999996</v>
      </c>
    </row>
    <row r="169" spans="1:63" ht="11.25" customHeight="1">
      <c r="A169" s="17">
        <f t="shared" si="17"/>
        <v>51</v>
      </c>
      <c r="B169" s="17" t="str">
        <f>IF(N165="","",N165)</f>
        <v>P0003</v>
      </c>
      <c r="C169" s="17">
        <f>IF(N166="","",N166)</f>
      </c>
      <c r="D169" s="17" t="str">
        <f>IF(N174="","",N174)</f>
        <v>K0014</v>
      </c>
      <c r="E169" s="17">
        <f>IF(N175="","",N175)</f>
      </c>
      <c r="H169" s="9"/>
      <c r="I169" s="2" t="str">
        <f>"3"&amp;O163&amp;N164</f>
        <v>31Open</v>
      </c>
      <c r="J169" s="9" t="str">
        <f>IF(AD170="","",IF(AD164=3,N165,IF(AD167=3,N168,IF(AD170=3,N171,IF(AD173=3,N174,"")))))</f>
        <v>K0014</v>
      </c>
      <c r="K169" s="9">
        <f>IF(AD170="","",IF(AD164=3,N166,IF(AD167=3,N169,IF(AD170=3,N172,IF(AD173=3,N175,"")))))</f>
        <v>0</v>
      </c>
      <c r="L169" s="9"/>
      <c r="M169" s="41" t="str">
        <f>N164</f>
        <v>Open</v>
      </c>
      <c r="N169" s="37"/>
      <c r="O169" s="36"/>
      <c r="P169" s="36"/>
      <c r="Q169" s="42">
        <f>IF(AT169&gt;0,"",IF(A169=0,"",IF(VLOOKUP(A169,'[1]plan gier'!A:S,19,FALSE)="","",VLOOKUP(A169,'[1]plan gier'!A:S,19,FALSE))))</f>
      </c>
      <c r="R169" s="43" t="s">
        <v>18</v>
      </c>
      <c r="S169" s="44">
        <v>51</v>
      </c>
      <c r="T169" s="262"/>
      <c r="U169" s="267">
        <f>IF(N169&lt;&gt;"",CONCATENATE(VLOOKUP(N169,'[1]zawodnicy'!$A:$E,1,FALSE)," ",VLOOKUP(N169,'[1]zawodnicy'!$A:$E,2,FALSE)," ",VLOOKUP(N169,'[1]zawodnicy'!$A:$E,3,FALSE)," - ",VLOOKUP(N169,'[1]zawodnicy'!$A:$E,4,FALSE)),"")</f>
      </c>
      <c r="V169" s="268"/>
      <c r="W169" s="72">
        <f>IF(SUM(AR172:AS172)=0,"",AS172&amp;":"&amp;AR172)</f>
      </c>
      <c r="X169" s="62"/>
      <c r="Y169" s="38" t="str">
        <f>IF(SUM(AR170:AS170)=0,"",AR170&amp;":"&amp;AS170)</f>
        <v>16:21</v>
      </c>
      <c r="Z169" s="73">
        <f>IF(SUM(AR168:AS168)=0,"",AR168&amp;":"&amp;AS168)</f>
      </c>
      <c r="AA169" s="261"/>
      <c r="AB169" s="265"/>
      <c r="AC169" s="265"/>
      <c r="AD169" s="266"/>
      <c r="AE169" s="11"/>
      <c r="AF169" s="11"/>
      <c r="AG169" s="43" t="s">
        <v>18</v>
      </c>
      <c r="AH169" s="51">
        <f>IF(ISBLANK(S169),"",VLOOKUP(S169,'[1]plan gier'!$X:$AN,12,FALSE))</f>
        <v>21</v>
      </c>
      <c r="AI169" s="52">
        <f>IF(ISBLANK(S169),"",VLOOKUP(S169,'[1]plan gier'!$X:$AN,13,FALSE))</f>
        <v>19</v>
      </c>
      <c r="AJ169" s="52">
        <f>IF(ISBLANK(S169),"",VLOOKUP(S169,'[1]plan gier'!$X:$AN,14,FALSE))</f>
        <v>21</v>
      </c>
      <c r="AK169" s="52">
        <f>IF(ISBLANK(S169),"",VLOOKUP(S169,'[1]plan gier'!$X:$AN,15,FALSE))</f>
        <v>6</v>
      </c>
      <c r="AL169" s="52">
        <f>IF(ISBLANK(S169),"",VLOOKUP(S169,'[1]plan gier'!$X:$AN,16,FALSE))</f>
        <v>0</v>
      </c>
      <c r="AM169" s="52">
        <f>IF(ISBLANK(S169),"",VLOOKUP(S169,'[1]plan gier'!$X:$AN,17,FALSE))</f>
        <v>0</v>
      </c>
      <c r="AN169" s="64">
        <f t="shared" si="18"/>
        <v>21</v>
      </c>
      <c r="AO169" s="65">
        <f t="shared" si="18"/>
        <v>19</v>
      </c>
      <c r="AP169" s="65">
        <f t="shared" si="18"/>
        <v>21</v>
      </c>
      <c r="AQ169" s="65">
        <f t="shared" si="18"/>
        <v>6</v>
      </c>
      <c r="AR169" s="65">
        <f t="shared" si="18"/>
        <v>0</v>
      </c>
      <c r="AS169" s="66">
        <f t="shared" si="18"/>
        <v>0</v>
      </c>
      <c r="AT169" s="54">
        <f t="shared" si="19"/>
        <v>67</v>
      </c>
      <c r="AU169" s="19">
        <v>3</v>
      </c>
      <c r="AV169" s="64">
        <f>IF(AH167&lt;AI167,1,0)+IF(AJ167&lt;AK167,1,0)+IF(AL167&lt;AM167,1,0)</f>
        <v>0</v>
      </c>
      <c r="AW169" s="65">
        <f>AZ167</f>
        <v>2</v>
      </c>
      <c r="AX169" s="65">
        <f>IF(AH170&lt;AI170,1,0)+IF(AJ170&lt;AK170,1,0)+IF(AL170&lt;AM170,1,0)</f>
        <v>2</v>
      </c>
      <c r="AY169" s="65">
        <f>AZ168</f>
        <v>1</v>
      </c>
      <c r="AZ169" s="67"/>
      <c r="BA169" s="68"/>
      <c r="BB169" s="65">
        <f>IF(AH171&gt;AI171,1,0)+IF(AJ171&gt;AK171,1,0)+IF(AL171&gt;AM171,1,0)</f>
        <v>2</v>
      </c>
      <c r="BC169" s="70">
        <f>AZ170</f>
        <v>0</v>
      </c>
      <c r="BD169" s="74">
        <f>AO167+AQ167+AS167+AO170+AQ170+AS170+AN171+AP171+AR171</f>
        <v>126</v>
      </c>
      <c r="BE169" s="75">
        <f>AN167+AP167+AR167+AN170+AP170+AR170+AO171+AQ171+AS171</f>
        <v>128</v>
      </c>
      <c r="BF169" s="74">
        <f>AV169+AX169+BB169</f>
        <v>4</v>
      </c>
      <c r="BG169" s="76">
        <f>AW169+AY169+BC169</f>
        <v>3</v>
      </c>
      <c r="BH169" s="64">
        <f>IF(AV169&gt;AW169,1,0)+IF(AX169&gt;AY169,1,0)+IF(BB169&gt;BC169,1,0)</f>
        <v>2</v>
      </c>
      <c r="BI169" s="66">
        <f>IF(AW169&gt;AV169,1,0)+IF(AY169&gt;AX169,1,0)+IF(BC169&gt;BB169,1,0)</f>
        <v>1</v>
      </c>
      <c r="BJ169" s="71">
        <f>IF(BH169+BI169=0,"",IF(BK169=MAX(BK167:BK170),1,IF(BK169=LARGE(BK167:BK170,2),2,IF(BK169=MIN(BK167:BK170),4,3))))</f>
        <v>2</v>
      </c>
      <c r="BK169" s="60">
        <f>IF(BH169+BI169&lt;&gt;0,BH169-BI169+(BF169-BG169)/100+(BD169-BE169)/10000,-3)</f>
        <v>1.0098</v>
      </c>
    </row>
    <row r="170" spans="1:63" ht="11.25" customHeight="1" thickBot="1">
      <c r="A170" s="17">
        <f t="shared" si="17"/>
        <v>52</v>
      </c>
      <c r="B170" s="17" t="str">
        <f>IF(N168="","",N168)</f>
        <v>G0011</v>
      </c>
      <c r="C170" s="17">
        <f>IF(N169="","",N169)</f>
      </c>
      <c r="D170" s="17" t="str">
        <f>IF(N171="","",N171)</f>
        <v>M0012</v>
      </c>
      <c r="E170" s="17">
        <f>IF(N172="","",N172)</f>
      </c>
      <c r="J170" s="9"/>
      <c r="K170" s="36"/>
      <c r="L170" s="36"/>
      <c r="M170" s="41" t="str">
        <f>N164</f>
        <v>Open</v>
      </c>
      <c r="O170" s="36"/>
      <c r="P170" s="36"/>
      <c r="Q170" s="42">
        <f>IF(AT170&gt;0,"",IF(A170=0,"",IF(VLOOKUP(A170,'[1]plan gier'!A:S,19,FALSE)="","",VLOOKUP(A170,'[1]plan gier'!A:S,19,FALSE))))</f>
      </c>
      <c r="R170" s="43" t="s">
        <v>19</v>
      </c>
      <c r="S170" s="44">
        <v>52</v>
      </c>
      <c r="T170" s="269">
        <v>3</v>
      </c>
      <c r="U170" s="270">
        <f>IF(AND(N171&lt;&gt;"",N172&lt;&gt;""),CONCATENATE(VLOOKUP(N171,'[1]zawodnicy'!$A:$E,1,FALSE)," ",VLOOKUP(N171,'[1]zawodnicy'!$A:$E,2,FALSE)," ",VLOOKUP(N171,'[1]zawodnicy'!$A:$E,3,FALSE)," - ",VLOOKUP(N171,'[1]zawodnicy'!$A:$E,4,FALSE)),"")</f>
      </c>
      <c r="V170" s="271"/>
      <c r="W170" s="45" t="str">
        <f>IF(SUM(AN167:AO167)=0,"",AO167&amp;":"&amp;AN167)</f>
        <v>12:21</v>
      </c>
      <c r="X170" s="47" t="str">
        <f>IF(SUM(AN170:AO170)=0,"",AO170&amp;":"&amp;AN170)</f>
        <v>17:21</v>
      </c>
      <c r="Y170" s="77"/>
      <c r="Z170" s="48" t="str">
        <f>IF(SUM(AN171:AO171)=0,"",AN171&amp;":"&amp;AO171)</f>
        <v>21:16</v>
      </c>
      <c r="AA170" s="269" t="str">
        <f>IF(SUM(AV169:AY169,BB169:BC169)=0,"",BD169&amp;":"&amp;BE169)</f>
        <v>126:128</v>
      </c>
      <c r="AB170" s="272" t="str">
        <f>IF(SUM(AV169:AY169,BB169:BC169)=0,"",BF169&amp;":"&amp;BG169)</f>
        <v>4:3</v>
      </c>
      <c r="AC170" s="272" t="str">
        <f>IF(SUM(AV169:AY169,BB169:BC169)=0,"",BH169&amp;":"&amp;BI169)</f>
        <v>2:1</v>
      </c>
      <c r="AD170" s="275">
        <f>IF(SUM(BH167:BH170)&gt;0,BJ169,"")</f>
        <v>2</v>
      </c>
      <c r="AE170" s="11"/>
      <c r="AF170" s="11"/>
      <c r="AG170" s="43" t="s">
        <v>19</v>
      </c>
      <c r="AH170" s="51">
        <f>IF(ISBLANK(S170),"",VLOOKUP(S170,'[1]plan gier'!$X:$AN,12,FALSE))</f>
        <v>21</v>
      </c>
      <c r="AI170" s="52">
        <f>IF(ISBLANK(S170),"",VLOOKUP(S170,'[1]plan gier'!$X:$AN,13,FALSE))</f>
        <v>17</v>
      </c>
      <c r="AJ170" s="52">
        <f>IF(ISBLANK(S170),"",VLOOKUP(S170,'[1]plan gier'!$X:$AN,14,FALSE))</f>
        <v>16</v>
      </c>
      <c r="AK170" s="52">
        <f>IF(ISBLANK(S170),"",VLOOKUP(S170,'[1]plan gier'!$X:$AN,15,FALSE))</f>
        <v>21</v>
      </c>
      <c r="AL170" s="52">
        <f>IF(ISBLANK(S170),"",VLOOKUP(S170,'[1]plan gier'!$X:$AN,16,FALSE))</f>
        <v>16</v>
      </c>
      <c r="AM170" s="52">
        <f>IF(ISBLANK(S170),"",VLOOKUP(S170,'[1]plan gier'!$X:$AN,17,FALSE))</f>
        <v>21</v>
      </c>
      <c r="AN170" s="64">
        <f t="shared" si="18"/>
        <v>21</v>
      </c>
      <c r="AO170" s="65">
        <f t="shared" si="18"/>
        <v>17</v>
      </c>
      <c r="AP170" s="65">
        <f t="shared" si="18"/>
        <v>16</v>
      </c>
      <c r="AQ170" s="65">
        <f t="shared" si="18"/>
        <v>21</v>
      </c>
      <c r="AR170" s="65">
        <f t="shared" si="18"/>
        <v>16</v>
      </c>
      <c r="AS170" s="66">
        <f t="shared" si="18"/>
        <v>21</v>
      </c>
      <c r="AT170" s="54">
        <f t="shared" si="19"/>
        <v>112</v>
      </c>
      <c r="AU170" s="19">
        <v>4</v>
      </c>
      <c r="AV170" s="78">
        <f>IF(AH169&lt;AI169,1,0)+IF(AJ169&lt;AK169,1,0)+IF(AL169&lt;AM169,1,0)</f>
        <v>0</v>
      </c>
      <c r="AW170" s="79">
        <f>BB167</f>
        <v>2</v>
      </c>
      <c r="AX170" s="79">
        <f>IF(AH168&lt;AI168,1,0)+IF(AJ168&lt;AK168,1,0)+IF(AL168&lt;AM168,1,0)</f>
        <v>2</v>
      </c>
      <c r="AY170" s="79">
        <f>BB168</f>
        <v>0</v>
      </c>
      <c r="AZ170" s="80">
        <f>IF(AH171&lt;AI171,1,0)+IF(AJ171&lt;AK171,1,0)+IF(AL171&lt;AM171,1,0)</f>
        <v>0</v>
      </c>
      <c r="BA170" s="80">
        <f>BB169</f>
        <v>2</v>
      </c>
      <c r="BB170" s="81"/>
      <c r="BC170" s="82"/>
      <c r="BD170" s="83">
        <f>AO168+AQ168+AS168+AO169+AQ169+AS169+AO171+AQ171+AS171</f>
        <v>100</v>
      </c>
      <c r="BE170" s="84">
        <f>AN168+AP168+AR168+AN169+AP169+AR169+AN171+AP171+AR171</f>
        <v>101</v>
      </c>
      <c r="BF170" s="83">
        <f>AV170+AX170+AZ170</f>
        <v>2</v>
      </c>
      <c r="BG170" s="85">
        <f>AW170+AY170+BA170</f>
        <v>4</v>
      </c>
      <c r="BH170" s="83">
        <f>IF(AV170&gt;AW170,1,0)+IF(AX170&gt;AY170,1,0)+IF(AZ170&gt;BA170,1,0)</f>
        <v>1</v>
      </c>
      <c r="BI170" s="85">
        <f>IF(AW170&gt;AV170,1,0)+IF(AY170&gt;AX170,1,0)+IF(BA170&gt;AZ170,1,0)</f>
        <v>2</v>
      </c>
      <c r="BJ170" s="86">
        <f>IF(BH170+BI170=0,"",IF(BK170=MAX(BK167:BK170),1,IF(BK170=LARGE(BK167:BK170,2),2,IF(BK170=MIN(BK167:BK170),4,3))))</f>
        <v>3</v>
      </c>
      <c r="BK170" s="60">
        <f>IF(BH170+BI170&lt;&gt;0,BH170-BI170+(BF170-BG170)/100+(BD170-BE170)/10000,-3)</f>
        <v>-1.0201</v>
      </c>
    </row>
    <row r="171" spans="1:63" ht="11.25" customHeight="1">
      <c r="A171" s="17">
        <f t="shared" si="17"/>
        <v>55</v>
      </c>
      <c r="B171" s="17" t="str">
        <f>IF(N171="","",N171)</f>
        <v>M0012</v>
      </c>
      <c r="C171" s="17">
        <f>IF(N172="","",N172)</f>
      </c>
      <c r="D171" s="17" t="str">
        <f>IF(N174="","",N174)</f>
        <v>K0014</v>
      </c>
      <c r="E171" s="17">
        <f>IF(N175="","",N175)</f>
      </c>
      <c r="H171" s="9"/>
      <c r="I171" s="2" t="str">
        <f>"4"&amp;O163&amp;N164</f>
        <v>41Open</v>
      </c>
      <c r="J171" s="9" t="str">
        <f>IF(AD173="","",IF(AD164=4,N165,IF(AD167=4,N168,IF(AD170=4,N171,IF(AD173=4,N174,"")))))</f>
        <v>G0011</v>
      </c>
      <c r="K171" s="9">
        <f>IF(AD173="","",IF(AD164=4,N166,IF(AD167=4,N169,IF(AD170=4,N172,IF(AD173=4,N175,"")))))</f>
        <v>0</v>
      </c>
      <c r="L171" s="9"/>
      <c r="M171" s="41" t="str">
        <f>N164</f>
        <v>Open</v>
      </c>
      <c r="N171" s="34" t="s">
        <v>34</v>
      </c>
      <c r="O171" s="35">
        <f>IF(O163&gt;0,(O163&amp;3)*1,"")</f>
        <v>13</v>
      </c>
      <c r="Q171" s="42">
        <f>IF(AT171&gt;0,"",IF(A171=0,"",IF(VLOOKUP(A171,'[1]plan gier'!A:S,19,FALSE)="","",VLOOKUP(A171,'[1]plan gier'!A:S,19,FALSE))))</f>
      </c>
      <c r="R171" s="43" t="s">
        <v>21</v>
      </c>
      <c r="S171" s="44">
        <v>55</v>
      </c>
      <c r="T171" s="261"/>
      <c r="U171" s="263" t="str">
        <f>IF(AND(N171&lt;&gt;"",N172=""),CONCATENATE(VLOOKUP(N171,'[1]zawodnicy'!$A:$E,1,FALSE)," ",VLOOKUP(N171,'[1]zawodnicy'!$A:$E,2,FALSE)," ",VLOOKUP(N171,'[1]zawodnicy'!$A:$E,3,FALSE)," - ",VLOOKUP(N171,'[1]zawodnicy'!$A:$E,4,FALSE)),"")</f>
        <v>M0012 Jarosław MAZUR - Mielec</v>
      </c>
      <c r="V171" s="264"/>
      <c r="W171" s="61" t="str">
        <f>IF(SUM(AP167:AQ167)=0,"",AQ167&amp;":"&amp;AP167)</f>
        <v>13:21</v>
      </c>
      <c r="X171" s="32" t="str">
        <f>IF(SUM(AP170:AQ170)=0,"",AQ170&amp;":"&amp;AP170)</f>
        <v>21:16</v>
      </c>
      <c r="Y171" s="87"/>
      <c r="Z171" s="63" t="str">
        <f>IF(SUM(AP171:AQ171)=0,"",AP171&amp;":"&amp;AQ171)</f>
        <v>21:17</v>
      </c>
      <c r="AA171" s="261"/>
      <c r="AB171" s="265"/>
      <c r="AC171" s="265"/>
      <c r="AD171" s="266"/>
      <c r="AE171" s="11"/>
      <c r="AF171" s="11"/>
      <c r="AG171" s="43" t="s">
        <v>21</v>
      </c>
      <c r="AH171" s="51">
        <f>IF(ISBLANK(S171),"",VLOOKUP(S171,'[1]plan gier'!$X:$AN,12,FALSE))</f>
        <v>21</v>
      </c>
      <c r="AI171" s="52">
        <f>IF(ISBLANK(S171),"",VLOOKUP(S171,'[1]plan gier'!$X:$AN,13,FALSE))</f>
        <v>16</v>
      </c>
      <c r="AJ171" s="52">
        <f>IF(ISBLANK(S171),"",VLOOKUP(S171,'[1]plan gier'!$X:$AN,14,FALSE))</f>
        <v>21</v>
      </c>
      <c r="AK171" s="52">
        <f>IF(ISBLANK(S171),"",VLOOKUP(S171,'[1]plan gier'!$X:$AN,15,FALSE))</f>
        <v>17</v>
      </c>
      <c r="AL171" s="52">
        <f>IF(ISBLANK(S171),"",VLOOKUP(S171,'[1]plan gier'!$X:$AN,16,FALSE))</f>
        <v>0</v>
      </c>
      <c r="AM171" s="52">
        <f>IF(ISBLANK(S171),"",VLOOKUP(S171,'[1]plan gier'!$X:$AN,17,FALSE))</f>
        <v>0</v>
      </c>
      <c r="AN171" s="64">
        <f t="shared" si="18"/>
        <v>21</v>
      </c>
      <c r="AO171" s="65">
        <f t="shared" si="18"/>
        <v>16</v>
      </c>
      <c r="AP171" s="65">
        <f t="shared" si="18"/>
        <v>21</v>
      </c>
      <c r="AQ171" s="65">
        <f t="shared" si="18"/>
        <v>17</v>
      </c>
      <c r="AR171" s="65">
        <f t="shared" si="18"/>
        <v>0</v>
      </c>
      <c r="AS171" s="66">
        <f t="shared" si="18"/>
        <v>0</v>
      </c>
      <c r="AT171" s="54">
        <f t="shared" si="19"/>
        <v>75</v>
      </c>
      <c r="BD171" s="17">
        <f aca="true" t="shared" si="20" ref="BD171:BI171">SUM(BD167:BD170)</f>
        <v>435</v>
      </c>
      <c r="BE171" s="17">
        <f t="shared" si="20"/>
        <v>435</v>
      </c>
      <c r="BF171" s="17">
        <f t="shared" si="20"/>
        <v>13</v>
      </c>
      <c r="BG171" s="17">
        <f t="shared" si="20"/>
        <v>13</v>
      </c>
      <c r="BH171" s="17">
        <f t="shared" si="20"/>
        <v>6</v>
      </c>
      <c r="BI171" s="17">
        <f t="shared" si="20"/>
        <v>6</v>
      </c>
      <c r="BK171" s="18">
        <f>SUM(BK167:BK170)</f>
        <v>0</v>
      </c>
    </row>
    <row r="172" spans="1:46" ht="11.25" customHeight="1" thickBot="1">
      <c r="A172" s="17">
        <f t="shared" si="17"/>
        <v>56</v>
      </c>
      <c r="B172" s="17" t="str">
        <f>IF(N165="","",N165)</f>
        <v>P0003</v>
      </c>
      <c r="C172" s="17">
        <f>IF(N166="","",N166)</f>
      </c>
      <c r="D172" s="17" t="str">
        <f>IF(N168="","",N168)</f>
        <v>G0011</v>
      </c>
      <c r="E172" s="17">
        <f>IF(N169="","",N169)</f>
      </c>
      <c r="J172" s="36"/>
      <c r="K172" s="36"/>
      <c r="L172" s="36"/>
      <c r="M172" s="41" t="str">
        <f>N164</f>
        <v>Open</v>
      </c>
      <c r="N172" s="37"/>
      <c r="O172" s="36"/>
      <c r="P172" s="36"/>
      <c r="Q172" s="42">
        <f>IF(AT172&gt;0,"",IF(A172=0,"",IF(VLOOKUP(A172,'[1]plan gier'!A:S,19,FALSE)="","",VLOOKUP(A172,'[1]plan gier'!A:S,19,FALSE))))</f>
      </c>
      <c r="R172" s="43" t="s">
        <v>22</v>
      </c>
      <c r="S172" s="44">
        <v>56</v>
      </c>
      <c r="T172" s="262"/>
      <c r="U172" s="267">
        <f>IF(N172&lt;&gt;"",CONCATENATE(VLOOKUP(N172,'[1]zawodnicy'!$A:$E,1,FALSE)," ",VLOOKUP(N172,'[1]zawodnicy'!$A:$E,2,FALSE)," ",VLOOKUP(N172,'[1]zawodnicy'!$A:$E,3,FALSE)," - ",VLOOKUP(N172,'[1]zawodnicy'!$A:$E,4,FALSE)),"")</f>
      </c>
      <c r="V172" s="268"/>
      <c r="W172" s="72">
        <f>IF(SUM(AR167:AS167)=0,"",AS167&amp;":"&amp;AR167)</f>
      </c>
      <c r="X172" s="38" t="str">
        <f>IF(SUM(AR170:AS170)=0,"",AS170&amp;":"&amp;AR170)</f>
        <v>21:16</v>
      </c>
      <c r="Y172" s="87"/>
      <c r="Z172" s="73">
        <f>IF(SUM(AR171:AS171)=0,"",AR171&amp;":"&amp;AS171)</f>
      </c>
      <c r="AA172" s="261"/>
      <c r="AB172" s="265"/>
      <c r="AC172" s="265"/>
      <c r="AD172" s="266"/>
      <c r="AE172" s="11"/>
      <c r="AF172" s="11"/>
      <c r="AG172" s="43" t="s">
        <v>22</v>
      </c>
      <c r="AH172" s="78">
        <f>IF(ISBLANK(S172),"",VLOOKUP(S172,'[1]plan gier'!$X:$AN,12,FALSE))</f>
        <v>21</v>
      </c>
      <c r="AI172" s="79">
        <f>IF(ISBLANK(S172),"",VLOOKUP(S172,'[1]plan gier'!$X:$AN,13,FALSE))</f>
        <v>8</v>
      </c>
      <c r="AJ172" s="79">
        <f>IF(ISBLANK(S172),"",VLOOKUP(S172,'[1]plan gier'!$X:$AN,14,FALSE))</f>
        <v>21</v>
      </c>
      <c r="AK172" s="79">
        <f>IF(ISBLANK(S172),"",VLOOKUP(S172,'[1]plan gier'!$X:$AN,15,FALSE))</f>
        <v>5</v>
      </c>
      <c r="AL172" s="79">
        <f>IF(ISBLANK(S172),"",VLOOKUP(S172,'[1]plan gier'!$X:$AN,16,FALSE))</f>
        <v>0</v>
      </c>
      <c r="AM172" s="79">
        <f>IF(ISBLANK(S172),"",VLOOKUP(S172,'[1]plan gier'!$X:$AN,17,FALSE))</f>
        <v>0</v>
      </c>
      <c r="AN172" s="83">
        <f t="shared" si="18"/>
        <v>21</v>
      </c>
      <c r="AO172" s="80">
        <f t="shared" si="18"/>
        <v>8</v>
      </c>
      <c r="AP172" s="80">
        <f t="shared" si="18"/>
        <v>21</v>
      </c>
      <c r="AQ172" s="80">
        <f t="shared" si="18"/>
        <v>5</v>
      </c>
      <c r="AR172" s="80">
        <f t="shared" si="18"/>
        <v>0</v>
      </c>
      <c r="AS172" s="85">
        <f t="shared" si="18"/>
        <v>0</v>
      </c>
      <c r="AT172" s="54">
        <f t="shared" si="19"/>
        <v>55</v>
      </c>
    </row>
    <row r="173" spans="1:46" ht="11.25" customHeight="1">
      <c r="A173" s="2"/>
      <c r="J173" s="36"/>
      <c r="K173" s="36"/>
      <c r="L173" s="36"/>
      <c r="O173" s="36"/>
      <c r="P173" s="36"/>
      <c r="Q173" s="2"/>
      <c r="R173" s="2"/>
      <c r="S173" s="2"/>
      <c r="T173" s="269">
        <v>4</v>
      </c>
      <c r="U173" s="270">
        <f>IF(AND(N174&lt;&gt;"",N175&lt;&gt;""),CONCATENATE(VLOOKUP(N174,'[1]zawodnicy'!$A:$E,1,FALSE)," ",VLOOKUP(N174,'[1]zawodnicy'!$A:$E,2,FALSE)," ",VLOOKUP(N174,'[1]zawodnicy'!$A:$E,3,FALSE)," - ",VLOOKUP(N174,'[1]zawodnicy'!$A:$E,4,FALSE)),"")</f>
      </c>
      <c r="V173" s="271"/>
      <c r="W173" s="45" t="str">
        <f>IF(SUM(AN169:AO169)=0,"",AO169&amp;":"&amp;AN169)</f>
        <v>19:21</v>
      </c>
      <c r="X173" s="47" t="str">
        <f>IF(SUM(AN168:AO168)=0,"",AO168&amp;":"&amp;AN168)</f>
        <v>21:5</v>
      </c>
      <c r="Y173" s="47" t="str">
        <f>IF(SUM(AN171:AO171)=0,"",AO171&amp;":"&amp;AN171)</f>
        <v>16:21</v>
      </c>
      <c r="Z173" s="88"/>
      <c r="AA173" s="269" t="str">
        <f>IF(SUM(AV170:BA170)=0,"",BD170&amp;":"&amp;BE170)</f>
        <v>100:101</v>
      </c>
      <c r="AB173" s="272" t="str">
        <f>IF(SUM(AV170:BA170)=0,"",BF170&amp;":"&amp;BG170)</f>
        <v>2:4</v>
      </c>
      <c r="AC173" s="272" t="str">
        <f>IF(SUM(AV170:BA170)=0,"",BH170&amp;":"&amp;BI170)</f>
        <v>1:2</v>
      </c>
      <c r="AD173" s="275">
        <f>IF(SUM(BH167:BH170)&gt;0,BJ170,"")</f>
        <v>3</v>
      </c>
      <c r="AE173" s="11"/>
      <c r="AF173" s="11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</row>
    <row r="174" spans="1:63" ht="11.25" customHeight="1">
      <c r="A174" s="17"/>
      <c r="B174" s="17"/>
      <c r="C174" s="17"/>
      <c r="D174" s="17"/>
      <c r="E174" s="17"/>
      <c r="H174" s="9"/>
      <c r="J174" s="17"/>
      <c r="K174" s="17"/>
      <c r="L174" s="17"/>
      <c r="N174" s="34" t="s">
        <v>39</v>
      </c>
      <c r="O174" s="35">
        <f>IF(O163&gt;0,(O163&amp;4)*1,"")</f>
        <v>14</v>
      </c>
      <c r="Q174" s="89"/>
      <c r="R174" s="89"/>
      <c r="S174" s="90"/>
      <c r="T174" s="261"/>
      <c r="U174" s="263" t="str">
        <f>IF(AND(N174&lt;&gt;"",N175=""),CONCATENATE(VLOOKUP(N174,'[1]zawodnicy'!$A:$E,1,FALSE)," ",VLOOKUP(N174,'[1]zawodnicy'!$A:$E,2,FALSE)," ",VLOOKUP(N174,'[1]zawodnicy'!$A:$E,3,FALSE)," - ",VLOOKUP(N174,'[1]zawodnicy'!$A:$E,4,FALSE)),"")</f>
        <v>K0014 Zdzisław KULA  - Tarnów</v>
      </c>
      <c r="V174" s="264"/>
      <c r="W174" s="61" t="str">
        <f>IF(SUM(AP169:AQ169)=0,"",AQ169&amp;":"&amp;AP169)</f>
        <v>6:21</v>
      </c>
      <c r="X174" s="32" t="str">
        <f>IF(SUM(AP168:AQ168)=0,"",AQ168&amp;":"&amp;AP168)</f>
        <v>21:12</v>
      </c>
      <c r="Y174" s="32" t="str">
        <f>IF(SUM(AP171:AQ171)=0,"",AQ171&amp;":"&amp;AP171)</f>
        <v>17:21</v>
      </c>
      <c r="Z174" s="91"/>
      <c r="AA174" s="261"/>
      <c r="AB174" s="265"/>
      <c r="AC174" s="265"/>
      <c r="AD174" s="266"/>
      <c r="AE174" s="11"/>
      <c r="AF174" s="11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1:63" ht="11.25" customHeight="1" thickBot="1">
      <c r="A175" s="2"/>
      <c r="J175" s="36"/>
      <c r="K175" s="36"/>
      <c r="L175" s="36"/>
      <c r="N175" s="37"/>
      <c r="O175" s="36"/>
      <c r="P175" s="36"/>
      <c r="Q175" s="2"/>
      <c r="R175" s="2"/>
      <c r="S175" s="2"/>
      <c r="T175" s="286"/>
      <c r="U175" s="296">
        <f>IF(N175&lt;&gt;"",CONCATENATE(VLOOKUP(N175,'[1]zawodnicy'!$A:$E,1,FALSE)," ",VLOOKUP(N175,'[1]zawodnicy'!$A:$E,2,FALSE)," ",VLOOKUP(N175,'[1]zawodnicy'!$A:$E,3,FALSE)," - ",VLOOKUP(N175,'[1]zawodnicy'!$A:$E,4,FALSE)),"")</f>
      </c>
      <c r="V175" s="297"/>
      <c r="W175" s="92">
        <f>IF(SUM(AR169:AS169)=0,"",AS169&amp;":"&amp;AR169)</f>
      </c>
      <c r="X175" s="93">
        <f>IF(SUM(AR168:AS168)=0,"",AS168&amp;":"&amp;AR168)</f>
      </c>
      <c r="Y175" s="93">
        <f>IF(SUM(AR171:AS171)=0,"",AS171&amp;":"&amp;AR171)</f>
      </c>
      <c r="Z175" s="94"/>
      <c r="AA175" s="286"/>
      <c r="AB175" s="287"/>
      <c r="AC175" s="287"/>
      <c r="AD175" s="288"/>
      <c r="AE175" s="11"/>
      <c r="AF175" s="11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ht="11.25" customHeight="1"/>
    <row r="177" ht="11.25" customHeight="1" thickBot="1"/>
    <row r="178" spans="14:32" ht="11.25" customHeight="1" thickBot="1">
      <c r="N178" s="10"/>
      <c r="O178" s="21">
        <v>2</v>
      </c>
      <c r="Q178" s="252" t="str">
        <f>"Grupa "&amp;O178&amp;"."</f>
        <v>Grupa 2.</v>
      </c>
      <c r="R178" s="252"/>
      <c r="S178" s="278"/>
      <c r="T178" s="22" t="s">
        <v>1</v>
      </c>
      <c r="U178" s="254" t="s">
        <v>2</v>
      </c>
      <c r="V178" s="279"/>
      <c r="W178" s="22">
        <v>1</v>
      </c>
      <c r="X178" s="24">
        <v>2</v>
      </c>
      <c r="Y178" s="95">
        <v>3</v>
      </c>
      <c r="Z178" s="96" t="s">
        <v>3</v>
      </c>
      <c r="AA178" s="28" t="s">
        <v>4</v>
      </c>
      <c r="AB178" s="28" t="s">
        <v>5</v>
      </c>
      <c r="AC178" s="97" t="s">
        <v>6</v>
      </c>
      <c r="AD178" s="2"/>
      <c r="AE178" s="11"/>
      <c r="AF178" s="11"/>
    </row>
    <row r="179" spans="10:45" ht="11.25" customHeight="1">
      <c r="J179" s="36"/>
      <c r="K179" s="36"/>
      <c r="L179" s="36"/>
      <c r="N179" s="30" t="s">
        <v>70</v>
      </c>
      <c r="Q179" s="259" t="s">
        <v>9</v>
      </c>
      <c r="R179" s="259"/>
      <c r="S179" s="280" t="s">
        <v>10</v>
      </c>
      <c r="T179" s="281">
        <v>1</v>
      </c>
      <c r="U179" s="282">
        <f>IF(AND(N180&lt;&gt;"",N181&lt;&gt;""),CONCATENATE(VLOOKUP(N180,'[1]zawodnicy'!$A:$E,1,FALSE)," ",VLOOKUP(N180,'[1]zawodnicy'!$A:$E,2,FALSE)," ",VLOOKUP(N180,'[1]zawodnicy'!$A:$E,3,FALSE)," - ",VLOOKUP(N180,'[1]zawodnicy'!$A:$E,4,FALSE)),"")</f>
      </c>
      <c r="V179" s="283"/>
      <c r="W179" s="98"/>
      <c r="X179" s="99" t="str">
        <f>IF(SUM(AN184:AO184)=0,"",AN184&amp;":"&amp;AO184)</f>
        <v>21:14</v>
      </c>
      <c r="Y179" s="100" t="str">
        <f>IF(SUM(AN182:AO182)=0,"",AN182&amp;":"&amp;AO182)</f>
        <v>21:14</v>
      </c>
      <c r="Z179" s="281" t="str">
        <f>IF(SUM(AX182:BA182)=0,"",BD182&amp;":"&amp;BE182)</f>
        <v>80:82</v>
      </c>
      <c r="AA179" s="289" t="str">
        <f>IF(SUM(AX182:BA182)=0,"",BF182&amp;":"&amp;BG182)</f>
        <v>3:2</v>
      </c>
      <c r="AB179" s="289" t="str">
        <f>IF(SUM(AX182:BA182)=0,"",BH182&amp;":"&amp;BI182)</f>
        <v>1:1</v>
      </c>
      <c r="AC179" s="291">
        <f>IF(SUM(BH182:BH184)&gt;0,BJ182,"")</f>
        <v>2</v>
      </c>
      <c r="AD179" s="2"/>
      <c r="AE179" s="11"/>
      <c r="AF179" s="11"/>
      <c r="AG179" s="13"/>
      <c r="AH179" s="256" t="s">
        <v>7</v>
      </c>
      <c r="AI179" s="256"/>
      <c r="AJ179" s="256"/>
      <c r="AK179" s="256"/>
      <c r="AL179" s="256"/>
      <c r="AM179" s="256"/>
      <c r="AN179" s="256" t="s">
        <v>8</v>
      </c>
      <c r="AO179" s="256"/>
      <c r="AP179" s="256"/>
      <c r="AQ179" s="256"/>
      <c r="AR179" s="256"/>
      <c r="AS179" s="256"/>
    </row>
    <row r="180" spans="9:59" ht="11.25" customHeight="1" thickBot="1">
      <c r="I180" s="2" t="str">
        <f>"1"&amp;O178&amp;N179</f>
        <v>12Open</v>
      </c>
      <c r="J180" s="9" t="str">
        <f>IF(AC179="","",IF(AC179=1,N180,IF(AC182=1,N183,IF(AC185=1,N186,""))))</f>
        <v>W0010</v>
      </c>
      <c r="K180" s="9">
        <f>IF(AC179="","",IF(AC179=1,N181,IF(AC182=1,N184,IF(AC185=1,N187,""))))</f>
        <v>0</v>
      </c>
      <c r="L180" s="9"/>
      <c r="N180" s="34" t="s">
        <v>38</v>
      </c>
      <c r="O180" s="35">
        <f>IF(O178&gt;0,(O178&amp;1)*1,"")</f>
        <v>21</v>
      </c>
      <c r="Q180" s="259"/>
      <c r="R180" s="259"/>
      <c r="S180" s="280"/>
      <c r="T180" s="261"/>
      <c r="U180" s="263" t="str">
        <f>IF(AND(N180&lt;&gt;"",N181=""),CONCATENATE(VLOOKUP(N180,'[1]zawodnicy'!$A:$E,1,FALSE)," ",VLOOKUP(N180,'[1]zawodnicy'!$A:$E,2,FALSE)," ",VLOOKUP(N180,'[1]zawodnicy'!$A:$E,3,FALSE)," - ",VLOOKUP(N180,'[1]zawodnicy'!$A:$E,4,FALSE)),"")</f>
        <v>M0019 Grzegorz MAC  - Rzeszów</v>
      </c>
      <c r="V180" s="284"/>
      <c r="W180" s="31"/>
      <c r="X180" s="32" t="str">
        <f>IF(SUM(AP184:AQ184)=0,"",AP184&amp;":"&amp;AQ184)</f>
        <v>8:21</v>
      </c>
      <c r="Y180" s="63" t="str">
        <f>IF(SUM(AP182:AQ182)=0,"",AP182&amp;":"&amp;AQ182)</f>
        <v>21:12</v>
      </c>
      <c r="Z180" s="261"/>
      <c r="AA180" s="265"/>
      <c r="AB180" s="265"/>
      <c r="AC180" s="266"/>
      <c r="AD180" s="2"/>
      <c r="AE180" s="11"/>
      <c r="AF180" s="11"/>
      <c r="AG180" s="13"/>
      <c r="BD180" s="17">
        <f>SUM(BD182:BD184)</f>
        <v>231</v>
      </c>
      <c r="BE180" s="17">
        <f>SUM(BE182:BE184)</f>
        <v>231</v>
      </c>
      <c r="BF180" s="17">
        <f>SUM(BF182:BF184)</f>
        <v>7</v>
      </c>
      <c r="BG180" s="17">
        <f>SUM(BG182:BG184)</f>
        <v>7</v>
      </c>
    </row>
    <row r="181" spans="10:63" ht="11.25" customHeight="1" thickBot="1">
      <c r="J181" s="9"/>
      <c r="K181" s="36"/>
      <c r="L181" s="36"/>
      <c r="N181" s="37"/>
      <c r="O181" s="36"/>
      <c r="P181" s="36"/>
      <c r="Q181" s="259"/>
      <c r="R181" s="259"/>
      <c r="S181" s="280"/>
      <c r="T181" s="262"/>
      <c r="U181" s="267">
        <f>IF(N181&lt;&gt;"",CONCATENATE(VLOOKUP(N181,'[1]zawodnicy'!$A:$E,1,FALSE)," ",VLOOKUP(N181,'[1]zawodnicy'!$A:$E,2,FALSE)," ",VLOOKUP(N181,'[1]zawodnicy'!$A:$E,3,FALSE)," - ",VLOOKUP(N181,'[1]zawodnicy'!$A:$E,4,FALSE)),"")</f>
      </c>
      <c r="V181" s="285"/>
      <c r="W181" s="31"/>
      <c r="X181" s="38" t="str">
        <f>IF(SUM(AR184:AS184)=0,"",AR184&amp;":"&amp;AS184)</f>
        <v>9:21</v>
      </c>
      <c r="Y181" s="73">
        <f>IF(SUM(AR182:AS182)=0,"",AR182&amp;":"&amp;AS182)</f>
      </c>
      <c r="Z181" s="262"/>
      <c r="AA181" s="290"/>
      <c r="AB181" s="290"/>
      <c r="AC181" s="292"/>
      <c r="AD181" s="2"/>
      <c r="AE181" s="11"/>
      <c r="AF181" s="11"/>
      <c r="AG181" s="13"/>
      <c r="AH181" s="293" t="s">
        <v>12</v>
      </c>
      <c r="AI181" s="294"/>
      <c r="AJ181" s="274" t="s">
        <v>13</v>
      </c>
      <c r="AK181" s="294"/>
      <c r="AL181" s="274" t="s">
        <v>14</v>
      </c>
      <c r="AM181" s="295"/>
      <c r="AN181" s="293" t="s">
        <v>12</v>
      </c>
      <c r="AO181" s="294"/>
      <c r="AP181" s="274" t="s">
        <v>13</v>
      </c>
      <c r="AQ181" s="294"/>
      <c r="AR181" s="274" t="s">
        <v>14</v>
      </c>
      <c r="AS181" s="294"/>
      <c r="AT181" s="11"/>
      <c r="AU181" s="11"/>
      <c r="AV181" s="293">
        <v>1</v>
      </c>
      <c r="AW181" s="294"/>
      <c r="AX181" s="274">
        <v>2</v>
      </c>
      <c r="AY181" s="294"/>
      <c r="AZ181" s="274">
        <v>3</v>
      </c>
      <c r="BA181" s="295"/>
      <c r="BD181" s="293" t="s">
        <v>3</v>
      </c>
      <c r="BE181" s="295"/>
      <c r="BF181" s="293" t="s">
        <v>4</v>
      </c>
      <c r="BG181" s="295"/>
      <c r="BH181" s="293" t="s">
        <v>5</v>
      </c>
      <c r="BI181" s="295"/>
      <c r="BJ181" s="40" t="s">
        <v>6</v>
      </c>
      <c r="BK181" s="18">
        <f>SUM(BK182:BK184)</f>
        <v>0</v>
      </c>
    </row>
    <row r="182" spans="1:63" ht="11.25" customHeight="1">
      <c r="A182" s="17">
        <f>S182</f>
        <v>49</v>
      </c>
      <c r="B182" s="2" t="str">
        <f>IF(N180="","",N180)</f>
        <v>M0019</v>
      </c>
      <c r="C182" s="2">
        <f>IF(N181="","",N181)</f>
      </c>
      <c r="D182" s="2" t="str">
        <f>IF(N186="","",N186)</f>
        <v>I0002</v>
      </c>
      <c r="E182" s="2">
        <f>IF(N187="","",N187)</f>
      </c>
      <c r="I182" s="2" t="str">
        <f>"2"&amp;O178&amp;N179</f>
        <v>22Open</v>
      </c>
      <c r="J182" s="9" t="str">
        <f>IF(AC182="","",IF(AC179=2,N180,IF(AC182=2,N183,IF(AC185=2,N186,""))))</f>
        <v>M0019</v>
      </c>
      <c r="K182" s="9">
        <f>IF(AC182="","",IF(AC179=2,N181,IF(AC182=2,N184,IF(AC185=2,N187,""))))</f>
        <v>0</v>
      </c>
      <c r="M182" s="41" t="str">
        <f>N179</f>
        <v>Open</v>
      </c>
      <c r="O182" s="36"/>
      <c r="P182" s="36"/>
      <c r="Q182" s="42">
        <f>IF(AT182&gt;0,"",IF(A182=0,"",IF(VLOOKUP(A182,'[1]plan gier'!A:S,19,FALSE)="","",VLOOKUP(A182,'[1]plan gier'!A:S,19,FALSE))))</f>
      </c>
      <c r="R182" s="43" t="s">
        <v>15</v>
      </c>
      <c r="S182" s="90">
        <v>49</v>
      </c>
      <c r="T182" s="269">
        <v>2</v>
      </c>
      <c r="U182" s="270">
        <f>IF(AND(N183&lt;&gt;"",N184&lt;&gt;""),CONCATENATE(VLOOKUP(N183,'[1]zawodnicy'!$A:$E,1,FALSE)," ",VLOOKUP(N183,'[1]zawodnicy'!$A:$E,2,FALSE)," ",VLOOKUP(N183,'[1]zawodnicy'!$A:$E,3,FALSE)," - ",VLOOKUP(N183,'[1]zawodnicy'!$A:$E,4,FALSE)),"")</f>
      </c>
      <c r="V182" s="299"/>
      <c r="W182" s="45" t="str">
        <f>IF(SUM(AN184:AO184)=0,"",AO184&amp;":"&amp;AN184)</f>
        <v>14:21</v>
      </c>
      <c r="X182" s="77"/>
      <c r="Y182" s="48" t="str">
        <f>IF(SUM(AN183:AO183)=0,"",AN183&amp;":"&amp;AO183)</f>
        <v>21:9</v>
      </c>
      <c r="Z182" s="269" t="str">
        <f>IF(SUM(AV183:AW183,AZ183:BA183)=0,"",BD183&amp;":"&amp;BE183)</f>
        <v>98:65</v>
      </c>
      <c r="AA182" s="272" t="str">
        <f>IF(SUM(AV183:AW183,AZ183:BA183)=0,"",BF183&amp;":"&amp;BG183)</f>
        <v>4:1</v>
      </c>
      <c r="AB182" s="272" t="str">
        <f>IF(SUM(AV183:AW183,AZ183:BA183)=0,"",BH183&amp;":"&amp;BI183)</f>
        <v>2:0</v>
      </c>
      <c r="AC182" s="275">
        <f>IF(SUM(BH182:BH184)&gt;0,BJ183,"")</f>
        <v>1</v>
      </c>
      <c r="AD182" s="2"/>
      <c r="AE182" s="11"/>
      <c r="AF182" s="11"/>
      <c r="AG182" s="43" t="s">
        <v>15</v>
      </c>
      <c r="AH182" s="51">
        <f>IF(ISBLANK(S182),"",VLOOKUP(S182,'[1]plan gier'!$X:$AN,12,FALSE))</f>
        <v>21</v>
      </c>
      <c r="AI182" s="52">
        <f>IF(ISBLANK(S182),"",VLOOKUP(S182,'[1]plan gier'!$X:$AN,13,FALSE))</f>
        <v>14</v>
      </c>
      <c r="AJ182" s="52">
        <f>IF(ISBLANK(S182),"",VLOOKUP(S182,'[1]plan gier'!$X:$AN,14,FALSE))</f>
        <v>21</v>
      </c>
      <c r="AK182" s="52">
        <f>IF(ISBLANK(S182),"",VLOOKUP(S182,'[1]plan gier'!$X:$AN,15,FALSE))</f>
        <v>12</v>
      </c>
      <c r="AL182" s="52">
        <f>IF(ISBLANK(S182),"",VLOOKUP(S182,'[1]plan gier'!$X:$AN,16,FALSE))</f>
        <v>0</v>
      </c>
      <c r="AM182" s="52">
        <f>IF(ISBLANK(S182),"",VLOOKUP(S182,'[1]plan gier'!$X:$AN,17,FALSE))</f>
        <v>0</v>
      </c>
      <c r="AN182" s="101">
        <f aca="true" t="shared" si="21" ref="AN182:AS184">IF(AH182="",0,AH182)</f>
        <v>21</v>
      </c>
      <c r="AO182" s="50">
        <f t="shared" si="21"/>
        <v>14</v>
      </c>
      <c r="AP182" s="102">
        <f t="shared" si="21"/>
        <v>21</v>
      </c>
      <c r="AQ182" s="50">
        <f t="shared" si="21"/>
        <v>12</v>
      </c>
      <c r="AR182" s="102">
        <f t="shared" si="21"/>
        <v>0</v>
      </c>
      <c r="AS182" s="50">
        <f t="shared" si="21"/>
        <v>0</v>
      </c>
      <c r="AT182" s="103">
        <f>SUM(AN182:AS182)</f>
        <v>68</v>
      </c>
      <c r="AU182" s="12">
        <v>1</v>
      </c>
      <c r="AV182" s="104"/>
      <c r="AW182" s="105"/>
      <c r="AX182" s="52">
        <f>IF(AH184&gt;AI184,1,0)+IF(AJ184&gt;AK184,1,0)+IF(AL184&gt;AM184,1,0)</f>
        <v>1</v>
      </c>
      <c r="AY182" s="52">
        <f>AV183</f>
        <v>2</v>
      </c>
      <c r="AZ182" s="52">
        <f>IF(AH182&gt;AI182,1,0)+IF(AJ182&gt;AK182,1,0)+IF(AL182&gt;AM182,1,0)</f>
        <v>2</v>
      </c>
      <c r="BA182" s="53">
        <f>AV184</f>
        <v>0</v>
      </c>
      <c r="BD182" s="51">
        <f>AN182+AP182+AR182+AN184+AP184+AR184</f>
        <v>80</v>
      </c>
      <c r="BE182" s="53">
        <f>AO182+AQ182+AS182+AO184+AQ184+AS184</f>
        <v>82</v>
      </c>
      <c r="BF182" s="51">
        <f>AX182+AZ182</f>
        <v>3</v>
      </c>
      <c r="BG182" s="53">
        <f>AY182+BA182</f>
        <v>2</v>
      </c>
      <c r="BH182" s="51">
        <f>IF(AX182&gt;AY182,1,0)+IF(AZ182&gt;BA182,1,0)</f>
        <v>1</v>
      </c>
      <c r="BI182" s="56">
        <f>IF(AY182&gt;AX182,1,0)+IF(BA182&gt;AZ182,1,0)</f>
        <v>1</v>
      </c>
      <c r="BJ182" s="106">
        <f>IF(BH182+BI182=0,"",IF(BK182=MAX(BK182:BK184),1,IF(BK182=MIN(BK182:BK184),3,2)))</f>
        <v>2</v>
      </c>
      <c r="BK182" s="18">
        <f>IF(BH182+BI182&lt;&gt;0,BH182-BI182+(BF182-BG182)/100+(BD182-BE182)/10000,-2)</f>
        <v>0.0098</v>
      </c>
    </row>
    <row r="183" spans="1:63" ht="11.25" customHeight="1">
      <c r="A183" s="17">
        <f>S183</f>
        <v>53</v>
      </c>
      <c r="B183" s="2" t="str">
        <f>IF(N183="","",N183)</f>
        <v>W0010</v>
      </c>
      <c r="C183" s="2">
        <f>IF(N184="","",N184)</f>
      </c>
      <c r="D183" s="2" t="str">
        <f>IF(N186="","",N186)</f>
        <v>I0002</v>
      </c>
      <c r="E183" s="2">
        <f>IF(N187="","",N187)</f>
      </c>
      <c r="J183" s="9"/>
      <c r="K183" s="17"/>
      <c r="M183" s="41" t="str">
        <f>N179</f>
        <v>Open</v>
      </c>
      <c r="N183" s="34" t="s">
        <v>35</v>
      </c>
      <c r="O183" s="35">
        <f>IF(O178&gt;0,(O178&amp;2)*1,"")</f>
        <v>22</v>
      </c>
      <c r="Q183" s="42">
        <f>IF(AT183&gt;0,"",IF(A183=0,"",IF(VLOOKUP(A183,'[1]plan gier'!A:S,19,FALSE)="","",VLOOKUP(A183,'[1]plan gier'!A:S,19,FALSE))))</f>
      </c>
      <c r="R183" s="43" t="s">
        <v>19</v>
      </c>
      <c r="S183" s="90">
        <v>53</v>
      </c>
      <c r="T183" s="261"/>
      <c r="U183" s="263" t="str">
        <f>IF(AND(N183&lt;&gt;"",N184=""),CONCATENATE(VLOOKUP(N183,'[1]zawodnicy'!$A:$E,1,FALSE)," ",VLOOKUP(N183,'[1]zawodnicy'!$A:$E,2,FALSE)," ",VLOOKUP(N183,'[1]zawodnicy'!$A:$E,3,FALSE)," - ",VLOOKUP(N183,'[1]zawodnicy'!$A:$E,4,FALSE)),"")</f>
        <v>W0010 Dariusz WALAS - Rzeszów</v>
      </c>
      <c r="V183" s="284"/>
      <c r="W183" s="61" t="str">
        <f>IF(SUM(AP184:AQ184)=0,"",AQ184&amp;":"&amp;AP184)</f>
        <v>21:8</v>
      </c>
      <c r="X183" s="87"/>
      <c r="Y183" s="63" t="str">
        <f>IF(SUM(AP183:AQ183)=0,"",AP183&amp;":"&amp;AQ183)</f>
        <v>21:18</v>
      </c>
      <c r="Z183" s="261"/>
      <c r="AA183" s="265"/>
      <c r="AB183" s="265"/>
      <c r="AC183" s="266"/>
      <c r="AD183" s="2"/>
      <c r="AE183" s="11"/>
      <c r="AF183" s="11"/>
      <c r="AG183" s="43" t="s">
        <v>19</v>
      </c>
      <c r="AH183" s="64">
        <f>IF(ISBLANK(S183),"",VLOOKUP(S183,'[1]plan gier'!$X:$AN,12,FALSE))</f>
        <v>21</v>
      </c>
      <c r="AI183" s="65">
        <f>IF(ISBLANK(S183),"",VLOOKUP(S183,'[1]plan gier'!$X:$AN,13,FALSE))</f>
        <v>9</v>
      </c>
      <c r="AJ183" s="65">
        <f>IF(ISBLANK(S183),"",VLOOKUP(S183,'[1]plan gier'!$X:$AN,14,FALSE))</f>
        <v>21</v>
      </c>
      <c r="AK183" s="65">
        <f>IF(ISBLANK(S183),"",VLOOKUP(S183,'[1]plan gier'!$X:$AN,15,FALSE))</f>
        <v>18</v>
      </c>
      <c r="AL183" s="65">
        <f>IF(ISBLANK(S183),"",VLOOKUP(S183,'[1]plan gier'!$X:$AN,16,FALSE))</f>
        <v>0</v>
      </c>
      <c r="AM183" s="65">
        <f>IF(ISBLANK(S183),"",VLOOKUP(S183,'[1]plan gier'!$X:$AN,17,FALSE))</f>
        <v>0</v>
      </c>
      <c r="AN183" s="107">
        <f t="shared" si="21"/>
        <v>21</v>
      </c>
      <c r="AO183" s="65">
        <f t="shared" si="21"/>
        <v>9</v>
      </c>
      <c r="AP183" s="108">
        <f t="shared" si="21"/>
        <v>21</v>
      </c>
      <c r="AQ183" s="65">
        <f t="shared" si="21"/>
        <v>18</v>
      </c>
      <c r="AR183" s="108">
        <f t="shared" si="21"/>
        <v>0</v>
      </c>
      <c r="AS183" s="65">
        <f t="shared" si="21"/>
        <v>0</v>
      </c>
      <c r="AT183" s="103">
        <f>SUM(AN183:AS183)</f>
        <v>69</v>
      </c>
      <c r="AU183" s="12">
        <v>2</v>
      </c>
      <c r="AV183" s="64">
        <f>IF(AH184&lt;AI184,1,0)+IF(AJ184&lt;AK184,1,0)+IF(AL184&lt;AM184,1,0)</f>
        <v>2</v>
      </c>
      <c r="AW183" s="65">
        <f>AX182</f>
        <v>1</v>
      </c>
      <c r="AX183" s="109"/>
      <c r="AY183" s="110"/>
      <c r="AZ183" s="65">
        <f>IF(AH183&gt;AI183,1,0)+IF(AJ183&gt;AK183,1,0)+IF(AL183&gt;AM183,1,0)</f>
        <v>2</v>
      </c>
      <c r="BA183" s="66">
        <f>AX184</f>
        <v>0</v>
      </c>
      <c r="BD183" s="64">
        <f>AN183+AP183+AR183+AO184+AQ184+AS184</f>
        <v>98</v>
      </c>
      <c r="BE183" s="66">
        <f>AO183+AQ183+AS183+AN184+AP184+AR184</f>
        <v>65</v>
      </c>
      <c r="BF183" s="64">
        <f>AV183+AZ183</f>
        <v>4</v>
      </c>
      <c r="BG183" s="66">
        <f>AW183+BA183</f>
        <v>1</v>
      </c>
      <c r="BH183" s="64">
        <f>IF(AV183&gt;AW183,1,0)+IF(AZ183&gt;BA183,1,0)</f>
        <v>2</v>
      </c>
      <c r="BI183" s="70">
        <f>IF(AW183&gt;AV183,1,0)+IF(BA183&gt;AZ183,1,0)</f>
        <v>0</v>
      </c>
      <c r="BJ183" s="71">
        <f>IF(BH183+BI183=0,"",IF(BK183=MAX(BK182:BK184),1,IF(BK183=MIN(BK182:BK184),3,2)))</f>
        <v>1</v>
      </c>
      <c r="BK183" s="18">
        <f>IF(BH183+BI183&lt;&gt;0,BH183-BI183+(BF183-BG183)/100+(BD183-BE183)/10000,-2)</f>
        <v>2.0332999999999997</v>
      </c>
    </row>
    <row r="184" spans="1:63" ht="11.25" customHeight="1" thickBot="1">
      <c r="A184" s="17">
        <f>S184</f>
        <v>57</v>
      </c>
      <c r="B184" s="2" t="str">
        <f>IF(N180="","",N180)</f>
        <v>M0019</v>
      </c>
      <c r="C184" s="2">
        <f>IF(N181="","",N181)</f>
      </c>
      <c r="D184" s="2" t="str">
        <f>IF(N183="","",N183)</f>
        <v>W0010</v>
      </c>
      <c r="E184" s="2">
        <f>IF(N184="","",N184)</f>
      </c>
      <c r="I184" s="2" t="str">
        <f>"3"&amp;O178&amp;N179</f>
        <v>32Open</v>
      </c>
      <c r="J184" s="9" t="str">
        <f>IF(AC185="","",IF(AC179=3,N180,IF(AC182=3,N183,IF(AC185=3,N186,""))))</f>
        <v>I0002</v>
      </c>
      <c r="K184" s="9">
        <f>IF(AC185="","",IF(AC179=3,N181,IF(AC182=3,N184,IF(AC185=3,N187,""))))</f>
        <v>0</v>
      </c>
      <c r="M184" s="41" t="str">
        <f>N179</f>
        <v>Open</v>
      </c>
      <c r="N184" s="37"/>
      <c r="O184" s="36"/>
      <c r="P184" s="36"/>
      <c r="Q184" s="42">
        <f>IF(AT184&gt;0,"",IF(A184=0,"",IF(VLOOKUP(A184,'[1]plan gier'!A:S,19,FALSE)="","",VLOOKUP(A184,'[1]plan gier'!A:S,19,FALSE))))</f>
      </c>
      <c r="R184" s="111" t="s">
        <v>22</v>
      </c>
      <c r="S184" s="90">
        <v>57</v>
      </c>
      <c r="T184" s="262"/>
      <c r="U184" s="267">
        <f>IF(N184&lt;&gt;"",CONCATENATE(VLOOKUP(N184,'[1]zawodnicy'!$A:$E,1,FALSE)," ",VLOOKUP(N184,'[1]zawodnicy'!$A:$E,2,FALSE)," ",VLOOKUP(N184,'[1]zawodnicy'!$A:$E,3,FALSE)," - ",VLOOKUP(N184,'[1]zawodnicy'!$A:$E,4,FALSE)),"")</f>
      </c>
      <c r="V184" s="285"/>
      <c r="W184" s="72" t="str">
        <f>IF(SUM(AR184:AS184)=0,"",AS184&amp;":"&amp;AR184)</f>
        <v>21:9</v>
      </c>
      <c r="X184" s="87"/>
      <c r="Y184" s="73">
        <f>IF(SUM(AR183:AS183)=0,"",AR183&amp;":"&amp;AS183)</f>
      </c>
      <c r="Z184" s="262"/>
      <c r="AA184" s="290"/>
      <c r="AB184" s="290"/>
      <c r="AC184" s="292"/>
      <c r="AD184" s="2"/>
      <c r="AE184" s="11"/>
      <c r="AF184" s="11"/>
      <c r="AG184" s="111" t="s">
        <v>22</v>
      </c>
      <c r="AH184" s="83">
        <f>IF(ISBLANK(S184),"",VLOOKUP(S184,'[1]plan gier'!$X:$AN,12,FALSE))</f>
        <v>21</v>
      </c>
      <c r="AI184" s="80">
        <f>IF(ISBLANK(S184),"",VLOOKUP(S184,'[1]plan gier'!$X:$AN,13,FALSE))</f>
        <v>14</v>
      </c>
      <c r="AJ184" s="80">
        <f>IF(ISBLANK(S184),"",VLOOKUP(S184,'[1]plan gier'!$X:$AN,14,FALSE))</f>
        <v>8</v>
      </c>
      <c r="AK184" s="80">
        <f>IF(ISBLANK(S184),"",VLOOKUP(S184,'[1]plan gier'!$X:$AN,15,FALSE))</f>
        <v>21</v>
      </c>
      <c r="AL184" s="80">
        <f>IF(ISBLANK(S184),"",VLOOKUP(S184,'[1]plan gier'!$X:$AN,16,FALSE))</f>
        <v>9</v>
      </c>
      <c r="AM184" s="80">
        <f>IF(ISBLANK(S184),"",VLOOKUP(S184,'[1]plan gier'!$X:$AN,17,FALSE))</f>
        <v>21</v>
      </c>
      <c r="AN184" s="112">
        <f t="shared" si="21"/>
        <v>21</v>
      </c>
      <c r="AO184" s="80">
        <f t="shared" si="21"/>
        <v>14</v>
      </c>
      <c r="AP184" s="113">
        <f t="shared" si="21"/>
        <v>8</v>
      </c>
      <c r="AQ184" s="80">
        <f t="shared" si="21"/>
        <v>21</v>
      </c>
      <c r="AR184" s="113">
        <f t="shared" si="21"/>
        <v>9</v>
      </c>
      <c r="AS184" s="80">
        <f t="shared" si="21"/>
        <v>21</v>
      </c>
      <c r="AT184" s="103">
        <f>SUM(AN184:AS184)</f>
        <v>94</v>
      </c>
      <c r="AU184" s="12">
        <v>3</v>
      </c>
      <c r="AV184" s="83">
        <f>IF(AH182&lt;AI182,1,0)+IF(AJ182&lt;AK182,1,0)+IF(AL182&lt;AM182,1,0)</f>
        <v>0</v>
      </c>
      <c r="AW184" s="80">
        <f>AZ182</f>
        <v>2</v>
      </c>
      <c r="AX184" s="80">
        <f>IF(AH183&lt;AI183,1,0)+IF(AJ183&lt;AK183,1,0)+IF(AL183&lt;AM183,1,0)</f>
        <v>0</v>
      </c>
      <c r="AY184" s="80">
        <f>AZ183</f>
        <v>2</v>
      </c>
      <c r="AZ184" s="114"/>
      <c r="BA184" s="115"/>
      <c r="BD184" s="83">
        <f>AO182+AQ182+AS182+AO183+AQ183+AS183</f>
        <v>53</v>
      </c>
      <c r="BE184" s="85">
        <f>AN182+AP182+AR182+AN183+AP183+AR183</f>
        <v>84</v>
      </c>
      <c r="BF184" s="83">
        <f>AV184+AX184</f>
        <v>0</v>
      </c>
      <c r="BG184" s="85">
        <f>AW184+AY184</f>
        <v>4</v>
      </c>
      <c r="BH184" s="83">
        <f>IF(AV184&gt;AW184,1,0)+IF(AX184&gt;AY184,1,0)</f>
        <v>0</v>
      </c>
      <c r="BI184" s="84">
        <f>IF(AW184&gt;AV184,1,0)+IF(AY184&gt;AX184,1,0)</f>
        <v>2</v>
      </c>
      <c r="BJ184" s="86">
        <f>IF(BH184+BI184=0,"",IF(BK184=MAX(BK182:BK184),1,IF(BK184=MIN(BK182:BK184),3,2)))</f>
        <v>3</v>
      </c>
      <c r="BK184" s="18">
        <f>IF(BH184+BI184&lt;&gt;0,BH184-BI184+(BF184-BG184)/100+(BD184-BE184)/10000,-2)</f>
        <v>-2.0431</v>
      </c>
    </row>
    <row r="185" spans="1:59" ht="11.25" customHeight="1">
      <c r="A185" s="2"/>
      <c r="J185" s="36"/>
      <c r="K185" s="36"/>
      <c r="L185" s="36"/>
      <c r="O185" s="36"/>
      <c r="P185" s="36"/>
      <c r="Q185" s="2"/>
      <c r="R185" s="2"/>
      <c r="S185" s="2"/>
      <c r="T185" s="269">
        <v>3</v>
      </c>
      <c r="U185" s="270">
        <f>IF(AND(N186&lt;&gt;"",N187&lt;&gt;""),CONCATENATE(VLOOKUP(N186,'[1]zawodnicy'!$A:$E,1,FALSE)," ",VLOOKUP(N186,'[1]zawodnicy'!$A:$E,2,FALSE)," ",VLOOKUP(N186,'[1]zawodnicy'!$A:$E,3,FALSE)," - ",VLOOKUP(N186,'[1]zawodnicy'!$A:$E,4,FALSE)),"")</f>
      </c>
      <c r="V185" s="299"/>
      <c r="W185" s="45" t="str">
        <f>IF(SUM(AN182:AO182)=0,"",AO182&amp;":"&amp;AN182)</f>
        <v>14:21</v>
      </c>
      <c r="X185" s="47" t="str">
        <f>IF(SUM(AN183:AO183)=0,"",AO183&amp;":"&amp;AN183)</f>
        <v>9:21</v>
      </c>
      <c r="Y185" s="116"/>
      <c r="Z185" s="269" t="str">
        <f>IF(SUM(AV184:AY184)=0,"",BD184&amp;":"&amp;BE184)</f>
        <v>53:84</v>
      </c>
      <c r="AA185" s="272" t="str">
        <f>IF(SUM(AV184:AY184)=0,"",BF184&amp;":"&amp;BG184)</f>
        <v>0:4</v>
      </c>
      <c r="AB185" s="272" t="str">
        <f>IF(SUM(AV184:AY184)=0,"",BH184&amp;":"&amp;BI184)</f>
        <v>0:2</v>
      </c>
      <c r="AC185" s="275">
        <f>IF(SUM(BH182:BH184)&gt;0,BJ184,"")</f>
        <v>3</v>
      </c>
      <c r="AD185" s="2"/>
      <c r="AE185" s="11"/>
      <c r="AF185" s="11"/>
      <c r="BD185" s="17">
        <f>SUM(BD182:BD184)</f>
        <v>231</v>
      </c>
      <c r="BE185" s="17">
        <f>SUM(BE182:BE184)</f>
        <v>231</v>
      </c>
      <c r="BF185" s="17">
        <f>SUM(BF182:BF184)</f>
        <v>7</v>
      </c>
      <c r="BG185" s="17">
        <f>SUM(BG182:BG184)</f>
        <v>7</v>
      </c>
    </row>
    <row r="186" spans="1:63" ht="11.25" customHeight="1">
      <c r="A186" s="17"/>
      <c r="J186" s="17"/>
      <c r="K186" s="17"/>
      <c r="L186" s="17"/>
      <c r="N186" s="34" t="s">
        <v>71</v>
      </c>
      <c r="O186" s="35">
        <f>IF(O178&gt;0,(O178&amp;3)*1,"")</f>
        <v>23</v>
      </c>
      <c r="Q186" s="89"/>
      <c r="R186" s="89"/>
      <c r="S186" s="90"/>
      <c r="T186" s="261"/>
      <c r="U186" s="263" t="str">
        <f>IF(AND(N186&lt;&gt;"",N187=""),CONCATENATE(VLOOKUP(N186,'[1]zawodnicy'!$A:$E,1,FALSE)," ",VLOOKUP(N186,'[1]zawodnicy'!$A:$E,2,FALSE)," ",VLOOKUP(N186,'[1]zawodnicy'!$A:$E,3,FALSE)," - ",VLOOKUP(N186,'[1]zawodnicy'!$A:$E,4,FALSE)),"")</f>
        <v>I0002 Igor IWAŃSKI - Mielec</v>
      </c>
      <c r="V186" s="284"/>
      <c r="W186" s="61" t="str">
        <f>IF(SUM(AP182:AQ182)=0,"",AQ182&amp;":"&amp;AP182)</f>
        <v>12:21</v>
      </c>
      <c r="X186" s="32" t="str">
        <f>IF(SUM(AP183:AQ183)=0,"",AQ183&amp;":"&amp;AP183)</f>
        <v>18:21</v>
      </c>
      <c r="Y186" s="117"/>
      <c r="Z186" s="261"/>
      <c r="AA186" s="265"/>
      <c r="AB186" s="265"/>
      <c r="AC186" s="266"/>
      <c r="AD186" s="2"/>
      <c r="AE186" s="11"/>
      <c r="AF186" s="11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</row>
    <row r="187" spans="1:63" ht="11.25" customHeight="1" thickBot="1">
      <c r="A187" s="2"/>
      <c r="J187" s="36"/>
      <c r="K187" s="36"/>
      <c r="L187" s="36"/>
      <c r="N187" s="37"/>
      <c r="O187" s="36"/>
      <c r="P187" s="36"/>
      <c r="Q187" s="2"/>
      <c r="R187" s="2"/>
      <c r="S187" s="2"/>
      <c r="T187" s="286"/>
      <c r="U187" s="296">
        <f>IF(N187&lt;&gt;"",CONCATENATE(VLOOKUP(N187,'[1]zawodnicy'!$A:$E,1,FALSE)," ",VLOOKUP(N187,'[1]zawodnicy'!$A:$E,2,FALSE)," ",VLOOKUP(N187,'[1]zawodnicy'!$A:$E,3,FALSE)," - ",VLOOKUP(N187,'[1]zawodnicy'!$A:$E,4,FALSE)),"")</f>
      </c>
      <c r="V187" s="298"/>
      <c r="W187" s="92">
        <f>IF(SUM(AR182:AS182)=0,"",AS182&amp;":"&amp;AR182)</f>
      </c>
      <c r="X187" s="93">
        <f>IF(SUM(AR183:AS183)=0,"",AS183&amp;":"&amp;AR183)</f>
      </c>
      <c r="Y187" s="94"/>
      <c r="Z187" s="286"/>
      <c r="AA187" s="287"/>
      <c r="AB187" s="287"/>
      <c r="AC187" s="288"/>
      <c r="AD187" s="9"/>
      <c r="AE187" s="11"/>
      <c r="AF187" s="11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</row>
    <row r="188" ht="11.25" customHeight="1"/>
    <row r="189" ht="11.25" customHeight="1" thickBot="1"/>
    <row r="190" spans="14:32" ht="11.25" customHeight="1" thickBot="1">
      <c r="N190" s="10"/>
      <c r="O190" s="21">
        <v>3</v>
      </c>
      <c r="Q190" s="252" t="str">
        <f>"Grupa "&amp;O190&amp;"."</f>
        <v>Grupa 3.</v>
      </c>
      <c r="R190" s="252"/>
      <c r="S190" s="278"/>
      <c r="T190" s="22" t="s">
        <v>1</v>
      </c>
      <c r="U190" s="254" t="s">
        <v>2</v>
      </c>
      <c r="V190" s="279"/>
      <c r="W190" s="22">
        <v>1</v>
      </c>
      <c r="X190" s="24">
        <v>2</v>
      </c>
      <c r="Y190" s="95">
        <v>3</v>
      </c>
      <c r="Z190" s="96" t="s">
        <v>3</v>
      </c>
      <c r="AA190" s="28" t="s">
        <v>4</v>
      </c>
      <c r="AB190" s="28" t="s">
        <v>5</v>
      </c>
      <c r="AC190" s="97" t="s">
        <v>6</v>
      </c>
      <c r="AD190" s="2"/>
      <c r="AE190" s="11"/>
      <c r="AF190" s="11"/>
    </row>
    <row r="191" spans="10:45" ht="11.25" customHeight="1">
      <c r="J191" s="36"/>
      <c r="K191" s="36"/>
      <c r="L191" s="36"/>
      <c r="N191" s="30" t="s">
        <v>70</v>
      </c>
      <c r="Q191" s="259" t="s">
        <v>9</v>
      </c>
      <c r="R191" s="259"/>
      <c r="S191" s="280" t="s">
        <v>10</v>
      </c>
      <c r="T191" s="281">
        <v>1</v>
      </c>
      <c r="U191" s="282">
        <f>IF(AND(N192&lt;&gt;"",N193&lt;&gt;""),CONCATENATE(VLOOKUP(N192,'[1]zawodnicy'!$A:$E,1,FALSE)," ",VLOOKUP(N192,'[1]zawodnicy'!$A:$E,2,FALSE)," ",VLOOKUP(N192,'[1]zawodnicy'!$A:$E,3,FALSE)," - ",VLOOKUP(N192,'[1]zawodnicy'!$A:$E,4,FALSE)),"")</f>
      </c>
      <c r="V191" s="283"/>
      <c r="W191" s="98"/>
      <c r="X191" s="99" t="str">
        <f>IF(SUM(AN196:AO196)=0,"",AN196&amp;":"&amp;AO196)</f>
        <v>21:13</v>
      </c>
      <c r="Y191" s="100" t="str">
        <f>IF(SUM(AN194:AO194)=0,"",AN194&amp;":"&amp;AO194)</f>
        <v>16:21</v>
      </c>
      <c r="Z191" s="281" t="str">
        <f>IF(SUM(AX194:BA194)=0,"",BD194&amp;":"&amp;BE194)</f>
        <v>82:97</v>
      </c>
      <c r="AA191" s="289" t="str">
        <f>IF(SUM(AX194:BA194)=0,"",BF194&amp;":"&amp;BG194)</f>
        <v>1:4</v>
      </c>
      <c r="AB191" s="289" t="str">
        <f>IF(SUM(AX194:BA194)=0,"",BH194&amp;":"&amp;BI194)</f>
        <v>0:2</v>
      </c>
      <c r="AC191" s="291">
        <f>IF(SUM(BH194:BH196)&gt;0,BJ194,"")</f>
        <v>3</v>
      </c>
      <c r="AD191" s="2"/>
      <c r="AE191" s="11"/>
      <c r="AF191" s="11"/>
      <c r="AG191" s="13"/>
      <c r="AH191" s="256" t="s">
        <v>7</v>
      </c>
      <c r="AI191" s="256"/>
      <c r="AJ191" s="256"/>
      <c r="AK191" s="256"/>
      <c r="AL191" s="256"/>
      <c r="AM191" s="256"/>
      <c r="AN191" s="256" t="s">
        <v>8</v>
      </c>
      <c r="AO191" s="256"/>
      <c r="AP191" s="256"/>
      <c r="AQ191" s="256"/>
      <c r="AR191" s="256"/>
      <c r="AS191" s="256"/>
    </row>
    <row r="192" spans="9:59" ht="11.25" customHeight="1" thickBot="1">
      <c r="I192" s="2" t="str">
        <f>"1"&amp;O190&amp;N191</f>
        <v>13Open</v>
      </c>
      <c r="J192" s="9" t="str">
        <f>IF(AC191="","",IF(AC191=1,N192,IF(AC194=1,N195,IF(AC197=1,N198,""))))</f>
        <v>G0002</v>
      </c>
      <c r="K192" s="9">
        <f>IF(AC191="","",IF(AC191=1,N193,IF(AC194=1,N196,IF(AC197=1,N199,""))))</f>
        <v>0</v>
      </c>
      <c r="L192" s="9"/>
      <c r="N192" s="34" t="s">
        <v>72</v>
      </c>
      <c r="O192" s="35">
        <f>IF(O190&gt;0,(O190&amp;1)*1,"")</f>
        <v>31</v>
      </c>
      <c r="Q192" s="259"/>
      <c r="R192" s="259"/>
      <c r="S192" s="280"/>
      <c r="T192" s="261"/>
      <c r="U192" s="263" t="str">
        <f>IF(AND(N192&lt;&gt;"",N193=""),CONCATENATE(VLOOKUP(N192,'[1]zawodnicy'!$A:$E,1,FALSE)," ",VLOOKUP(N192,'[1]zawodnicy'!$A:$E,2,FALSE)," ",VLOOKUP(N192,'[1]zawodnicy'!$A:$E,3,FALSE)," - ",VLOOKUP(N192,'[1]zawodnicy'!$A:$E,4,FALSE)),"")</f>
        <v>Ś0002 Ernest ŚCIPIEŃ - Nowa Dęba</v>
      </c>
      <c r="V192" s="284"/>
      <c r="W192" s="31"/>
      <c r="X192" s="32" t="str">
        <f>IF(SUM(AP196:AQ196)=0,"",AP196&amp;":"&amp;AQ196)</f>
        <v>12:21</v>
      </c>
      <c r="Y192" s="63" t="str">
        <f>IF(SUM(AP194:AQ194)=0,"",AP194&amp;":"&amp;AQ194)</f>
        <v>14:21</v>
      </c>
      <c r="Z192" s="261"/>
      <c r="AA192" s="265"/>
      <c r="AB192" s="265"/>
      <c r="AC192" s="266"/>
      <c r="AD192" s="2"/>
      <c r="AE192" s="11"/>
      <c r="AF192" s="11"/>
      <c r="AG192" s="13"/>
      <c r="BD192" s="17">
        <f>SUM(BD194:BD196)</f>
        <v>252</v>
      </c>
      <c r="BE192" s="17">
        <f>SUM(BE194:BE196)</f>
        <v>252</v>
      </c>
      <c r="BF192" s="17">
        <f>SUM(BF194:BF196)</f>
        <v>7</v>
      </c>
      <c r="BG192" s="17">
        <f>SUM(BG194:BG196)</f>
        <v>7</v>
      </c>
    </row>
    <row r="193" spans="10:63" ht="11.25" customHeight="1" thickBot="1">
      <c r="J193" s="9"/>
      <c r="K193" s="36"/>
      <c r="L193" s="36"/>
      <c r="N193" s="37"/>
      <c r="O193" s="36"/>
      <c r="P193" s="36"/>
      <c r="Q193" s="259"/>
      <c r="R193" s="259"/>
      <c r="S193" s="280"/>
      <c r="T193" s="262"/>
      <c r="U193" s="267">
        <f>IF(N193&lt;&gt;"",CONCATENATE(VLOOKUP(N193,'[1]zawodnicy'!$A:$E,1,FALSE)," ",VLOOKUP(N193,'[1]zawodnicy'!$A:$E,2,FALSE)," ",VLOOKUP(N193,'[1]zawodnicy'!$A:$E,3,FALSE)," - ",VLOOKUP(N193,'[1]zawodnicy'!$A:$E,4,FALSE)),"")</f>
      </c>
      <c r="V193" s="285"/>
      <c r="W193" s="31"/>
      <c r="X193" s="38" t="str">
        <f>IF(SUM(AR196:AS196)=0,"",AR196&amp;":"&amp;AS196)</f>
        <v>19:21</v>
      </c>
      <c r="Y193" s="73">
        <f>IF(SUM(AR194:AS194)=0,"",AR194&amp;":"&amp;AS194)</f>
      </c>
      <c r="Z193" s="262"/>
      <c r="AA193" s="290"/>
      <c r="AB193" s="290"/>
      <c r="AC193" s="292"/>
      <c r="AD193" s="2"/>
      <c r="AE193" s="11"/>
      <c r="AF193" s="11"/>
      <c r="AG193" s="13"/>
      <c r="AH193" s="293" t="s">
        <v>12</v>
      </c>
      <c r="AI193" s="294"/>
      <c r="AJ193" s="274" t="s">
        <v>13</v>
      </c>
      <c r="AK193" s="294"/>
      <c r="AL193" s="274" t="s">
        <v>14</v>
      </c>
      <c r="AM193" s="295"/>
      <c r="AN193" s="293" t="s">
        <v>12</v>
      </c>
      <c r="AO193" s="294"/>
      <c r="AP193" s="274" t="s">
        <v>13</v>
      </c>
      <c r="AQ193" s="294"/>
      <c r="AR193" s="274" t="s">
        <v>14</v>
      </c>
      <c r="AS193" s="294"/>
      <c r="AT193" s="11"/>
      <c r="AU193" s="11"/>
      <c r="AV193" s="293">
        <v>1</v>
      </c>
      <c r="AW193" s="294"/>
      <c r="AX193" s="274">
        <v>2</v>
      </c>
      <c r="AY193" s="294"/>
      <c r="AZ193" s="274">
        <v>3</v>
      </c>
      <c r="BA193" s="295"/>
      <c r="BD193" s="293" t="s">
        <v>3</v>
      </c>
      <c r="BE193" s="295"/>
      <c r="BF193" s="293" t="s">
        <v>4</v>
      </c>
      <c r="BG193" s="295"/>
      <c r="BH193" s="293" t="s">
        <v>5</v>
      </c>
      <c r="BI193" s="295"/>
      <c r="BJ193" s="40" t="s">
        <v>6</v>
      </c>
      <c r="BK193" s="18">
        <f>SUM(BK194:BK196)</f>
        <v>0</v>
      </c>
    </row>
    <row r="194" spans="1:63" ht="11.25" customHeight="1">
      <c r="A194" s="17">
        <f>S194</f>
        <v>50</v>
      </c>
      <c r="B194" s="2" t="str">
        <f>IF(N192="","",N192)</f>
        <v>Ś0002</v>
      </c>
      <c r="C194" s="2">
        <f>IF(N193="","",N193)</f>
      </c>
      <c r="D194" s="2" t="str">
        <f>IF(N198="","",N198)</f>
        <v>G0002</v>
      </c>
      <c r="E194" s="2">
        <f>IF(N199="","",N199)</f>
      </c>
      <c r="I194" s="2" t="str">
        <f>"2"&amp;O190&amp;N191</f>
        <v>23Open</v>
      </c>
      <c r="J194" s="9" t="str">
        <f>IF(AC194="","",IF(AC191=2,N192,IF(AC194=2,N195,IF(AC197=2,N198,""))))</f>
        <v>K0034</v>
      </c>
      <c r="K194" s="9">
        <f>IF(AC194="","",IF(AC191=2,N193,IF(AC194=2,N196,IF(AC197=2,N199,""))))</f>
        <v>0</v>
      </c>
      <c r="M194" s="41" t="str">
        <f>N191</f>
        <v>Open</v>
      </c>
      <c r="O194" s="36"/>
      <c r="P194" s="36"/>
      <c r="Q194" s="42">
        <f>IF(AT194&gt;0,"",IF(A194=0,"",IF(VLOOKUP(A194,'[1]plan gier'!A:S,19,FALSE)="","",VLOOKUP(A194,'[1]plan gier'!A:S,19,FALSE))))</f>
      </c>
      <c r="R194" s="43" t="s">
        <v>15</v>
      </c>
      <c r="S194" s="90">
        <v>50</v>
      </c>
      <c r="T194" s="269">
        <v>2</v>
      </c>
      <c r="U194" s="270">
        <f>IF(AND(N195&lt;&gt;"",N196&lt;&gt;""),CONCATENATE(VLOOKUP(N195,'[1]zawodnicy'!$A:$E,1,FALSE)," ",VLOOKUP(N195,'[1]zawodnicy'!$A:$E,2,FALSE)," ",VLOOKUP(N195,'[1]zawodnicy'!$A:$E,3,FALSE)," - ",VLOOKUP(N195,'[1]zawodnicy'!$A:$E,4,FALSE)),"")</f>
      </c>
      <c r="V194" s="299"/>
      <c r="W194" s="45" t="str">
        <f>IF(SUM(AN196:AO196)=0,"",AO196&amp;":"&amp;AN196)</f>
        <v>13:21</v>
      </c>
      <c r="X194" s="77"/>
      <c r="Y194" s="48" t="str">
        <f>IF(SUM(AN195:AO195)=0,"",AN195&amp;":"&amp;AO195)</f>
        <v>18:21</v>
      </c>
      <c r="Z194" s="269" t="str">
        <f>IF(SUM(AV195:AW195,AZ195:BA195)=0,"",BD195&amp;":"&amp;BE195)</f>
        <v>86:94</v>
      </c>
      <c r="AA194" s="272" t="str">
        <f>IF(SUM(AV195:AW195,AZ195:BA195)=0,"",BF195&amp;":"&amp;BG195)</f>
        <v>2:3</v>
      </c>
      <c r="AB194" s="272" t="str">
        <f>IF(SUM(AV195:AW195,AZ195:BA195)=0,"",BH195&amp;":"&amp;BI195)</f>
        <v>1:1</v>
      </c>
      <c r="AC194" s="275">
        <f>IF(SUM(BH194:BH196)&gt;0,BJ195,"")</f>
        <v>2</v>
      </c>
      <c r="AD194" s="2"/>
      <c r="AE194" s="11"/>
      <c r="AF194" s="11"/>
      <c r="AG194" s="43" t="s">
        <v>15</v>
      </c>
      <c r="AH194" s="51">
        <f>IF(ISBLANK(S194),"",VLOOKUP(S194,'[1]plan gier'!$X:$AN,12,FALSE))</f>
        <v>16</v>
      </c>
      <c r="AI194" s="52">
        <f>IF(ISBLANK(S194),"",VLOOKUP(S194,'[1]plan gier'!$X:$AN,13,FALSE))</f>
        <v>21</v>
      </c>
      <c r="AJ194" s="52">
        <f>IF(ISBLANK(S194),"",VLOOKUP(S194,'[1]plan gier'!$X:$AN,14,FALSE))</f>
        <v>14</v>
      </c>
      <c r="AK194" s="52">
        <f>IF(ISBLANK(S194),"",VLOOKUP(S194,'[1]plan gier'!$X:$AN,15,FALSE))</f>
        <v>21</v>
      </c>
      <c r="AL194" s="52">
        <f>IF(ISBLANK(S194),"",VLOOKUP(S194,'[1]plan gier'!$X:$AN,16,FALSE))</f>
        <v>0</v>
      </c>
      <c r="AM194" s="52">
        <f>IF(ISBLANK(S194),"",VLOOKUP(S194,'[1]plan gier'!$X:$AN,17,FALSE))</f>
        <v>0</v>
      </c>
      <c r="AN194" s="101">
        <f aca="true" t="shared" si="22" ref="AN194:AS196">IF(AH194="",0,AH194)</f>
        <v>16</v>
      </c>
      <c r="AO194" s="50">
        <f t="shared" si="22"/>
        <v>21</v>
      </c>
      <c r="AP194" s="102">
        <f t="shared" si="22"/>
        <v>14</v>
      </c>
      <c r="AQ194" s="50">
        <f t="shared" si="22"/>
        <v>21</v>
      </c>
      <c r="AR194" s="102">
        <f t="shared" si="22"/>
        <v>0</v>
      </c>
      <c r="AS194" s="50">
        <f t="shared" si="22"/>
        <v>0</v>
      </c>
      <c r="AT194" s="103">
        <f>SUM(AN194:AS194)</f>
        <v>72</v>
      </c>
      <c r="AU194" s="12">
        <v>1</v>
      </c>
      <c r="AV194" s="104"/>
      <c r="AW194" s="105"/>
      <c r="AX194" s="52">
        <f>IF(AH196&gt;AI196,1,0)+IF(AJ196&gt;AK196,1,0)+IF(AL196&gt;AM196,1,0)</f>
        <v>1</v>
      </c>
      <c r="AY194" s="52">
        <f>AV195</f>
        <v>2</v>
      </c>
      <c r="AZ194" s="52">
        <f>IF(AH194&gt;AI194,1,0)+IF(AJ194&gt;AK194,1,0)+IF(AL194&gt;AM194,1,0)</f>
        <v>0</v>
      </c>
      <c r="BA194" s="53">
        <f>AV196</f>
        <v>2</v>
      </c>
      <c r="BD194" s="51">
        <f>AN194+AP194+AR194+AN196+AP196+AR196</f>
        <v>82</v>
      </c>
      <c r="BE194" s="53">
        <f>AO194+AQ194+AS194+AO196+AQ196+AS196</f>
        <v>97</v>
      </c>
      <c r="BF194" s="51">
        <f>AX194+AZ194</f>
        <v>1</v>
      </c>
      <c r="BG194" s="53">
        <f>AY194+BA194</f>
        <v>4</v>
      </c>
      <c r="BH194" s="51">
        <f>IF(AX194&gt;AY194,1,0)+IF(AZ194&gt;BA194,1,0)</f>
        <v>0</v>
      </c>
      <c r="BI194" s="56">
        <f>IF(AY194&gt;AX194,1,0)+IF(BA194&gt;AZ194,1,0)</f>
        <v>2</v>
      </c>
      <c r="BJ194" s="106">
        <f>IF(BH194+BI194=0,"",IF(BK194=MAX(BK194:BK196),1,IF(BK194=MIN(BK194:BK196),3,2)))</f>
        <v>3</v>
      </c>
      <c r="BK194" s="18">
        <f>IF(BH194+BI194&lt;&gt;0,BH194-BI194+(BF194-BG194)/100+(BD194-BE194)/10000,-2)</f>
        <v>-2.0315</v>
      </c>
    </row>
    <row r="195" spans="1:63" ht="11.25" customHeight="1">
      <c r="A195" s="17">
        <f>S195</f>
        <v>54</v>
      </c>
      <c r="B195" s="2" t="str">
        <f>IF(N195="","",N195)</f>
        <v>K0034</v>
      </c>
      <c r="C195" s="2">
        <f>IF(N196="","",N196)</f>
      </c>
      <c r="D195" s="2" t="str">
        <f>IF(N198="","",N198)</f>
        <v>G0002</v>
      </c>
      <c r="E195" s="2">
        <f>IF(N199="","",N199)</f>
      </c>
      <c r="J195" s="9"/>
      <c r="K195" s="17"/>
      <c r="M195" s="41" t="str">
        <f>N191</f>
        <v>Open</v>
      </c>
      <c r="N195" s="34" t="s">
        <v>29</v>
      </c>
      <c r="O195" s="35">
        <f>IF(O190&gt;0,(O190&amp;2)*1,"")</f>
        <v>32</v>
      </c>
      <c r="Q195" s="42">
        <f>IF(AT195&gt;0,"",IF(A195=0,"",IF(VLOOKUP(A195,'[1]plan gier'!A:S,19,FALSE)="","",VLOOKUP(A195,'[1]plan gier'!A:S,19,FALSE))))</f>
      </c>
      <c r="R195" s="43" t="s">
        <v>19</v>
      </c>
      <c r="S195" s="90">
        <v>54</v>
      </c>
      <c r="T195" s="261"/>
      <c r="U195" s="263" t="str">
        <f>IF(AND(N195&lt;&gt;"",N196=""),CONCATENATE(VLOOKUP(N195,'[1]zawodnicy'!$A:$E,1,FALSE)," ",VLOOKUP(N195,'[1]zawodnicy'!$A:$E,2,FALSE)," ",VLOOKUP(N195,'[1]zawodnicy'!$A:$E,3,FALSE)," - ",VLOOKUP(N195,'[1]zawodnicy'!$A:$E,4,FALSE)),"")</f>
        <v>K0034 Marcin KOWALIK - Rzeszów</v>
      </c>
      <c r="V195" s="284"/>
      <c r="W195" s="61" t="str">
        <f>IF(SUM(AP196:AQ196)=0,"",AQ196&amp;":"&amp;AP196)</f>
        <v>21:12</v>
      </c>
      <c r="X195" s="87"/>
      <c r="Y195" s="63" t="str">
        <f>IF(SUM(AP195:AQ195)=0,"",AP195&amp;":"&amp;AQ195)</f>
        <v>13:21</v>
      </c>
      <c r="Z195" s="261"/>
      <c r="AA195" s="265"/>
      <c r="AB195" s="265"/>
      <c r="AC195" s="266"/>
      <c r="AD195" s="2"/>
      <c r="AE195" s="11"/>
      <c r="AF195" s="11"/>
      <c r="AG195" s="43" t="s">
        <v>19</v>
      </c>
      <c r="AH195" s="64">
        <f>IF(ISBLANK(S195),"",VLOOKUP(S195,'[1]plan gier'!$X:$AN,12,FALSE))</f>
        <v>18</v>
      </c>
      <c r="AI195" s="65">
        <f>IF(ISBLANK(S195),"",VLOOKUP(S195,'[1]plan gier'!$X:$AN,13,FALSE))</f>
        <v>21</v>
      </c>
      <c r="AJ195" s="65">
        <f>IF(ISBLANK(S195),"",VLOOKUP(S195,'[1]plan gier'!$X:$AN,14,FALSE))</f>
        <v>13</v>
      </c>
      <c r="AK195" s="65">
        <f>IF(ISBLANK(S195),"",VLOOKUP(S195,'[1]plan gier'!$X:$AN,15,FALSE))</f>
        <v>21</v>
      </c>
      <c r="AL195" s="65">
        <f>IF(ISBLANK(S195),"",VLOOKUP(S195,'[1]plan gier'!$X:$AN,16,FALSE))</f>
        <v>0</v>
      </c>
      <c r="AM195" s="65">
        <f>IF(ISBLANK(S195),"",VLOOKUP(S195,'[1]plan gier'!$X:$AN,17,FALSE))</f>
        <v>0</v>
      </c>
      <c r="AN195" s="107">
        <f t="shared" si="22"/>
        <v>18</v>
      </c>
      <c r="AO195" s="65">
        <f t="shared" si="22"/>
        <v>21</v>
      </c>
      <c r="AP195" s="108">
        <f t="shared" si="22"/>
        <v>13</v>
      </c>
      <c r="AQ195" s="65">
        <f t="shared" si="22"/>
        <v>21</v>
      </c>
      <c r="AR195" s="108">
        <f t="shared" si="22"/>
        <v>0</v>
      </c>
      <c r="AS195" s="65">
        <f t="shared" si="22"/>
        <v>0</v>
      </c>
      <c r="AT195" s="103">
        <f>SUM(AN195:AS195)</f>
        <v>73</v>
      </c>
      <c r="AU195" s="12">
        <v>2</v>
      </c>
      <c r="AV195" s="64">
        <f>IF(AH196&lt;AI196,1,0)+IF(AJ196&lt;AK196,1,0)+IF(AL196&lt;AM196,1,0)</f>
        <v>2</v>
      </c>
      <c r="AW195" s="65">
        <f>AX194</f>
        <v>1</v>
      </c>
      <c r="AX195" s="109"/>
      <c r="AY195" s="110"/>
      <c r="AZ195" s="65">
        <f>IF(AH195&gt;AI195,1,0)+IF(AJ195&gt;AK195,1,0)+IF(AL195&gt;AM195,1,0)</f>
        <v>0</v>
      </c>
      <c r="BA195" s="66">
        <f>AX196</f>
        <v>2</v>
      </c>
      <c r="BD195" s="64">
        <f>AN195+AP195+AR195+AO196+AQ196+AS196</f>
        <v>86</v>
      </c>
      <c r="BE195" s="66">
        <f>AO195+AQ195+AS195+AN196+AP196+AR196</f>
        <v>94</v>
      </c>
      <c r="BF195" s="64">
        <f>AV195+AZ195</f>
        <v>2</v>
      </c>
      <c r="BG195" s="66">
        <f>AW195+BA195</f>
        <v>3</v>
      </c>
      <c r="BH195" s="64">
        <f>IF(AV195&gt;AW195,1,0)+IF(AZ195&gt;BA195,1,0)</f>
        <v>1</v>
      </c>
      <c r="BI195" s="70">
        <f>IF(AW195&gt;AV195,1,0)+IF(BA195&gt;AZ195,1,0)</f>
        <v>1</v>
      </c>
      <c r="BJ195" s="71">
        <f>IF(BH195+BI195=0,"",IF(BK195=MAX(BK194:BK196),1,IF(BK195=MIN(BK194:BK196),3,2)))</f>
        <v>2</v>
      </c>
      <c r="BK195" s="18">
        <f>IF(BH195+BI195&lt;&gt;0,BH195-BI195+(BF195-BG195)/100+(BD195-BE195)/10000,-2)</f>
        <v>-0.0108</v>
      </c>
    </row>
    <row r="196" spans="1:63" ht="11.25" customHeight="1" thickBot="1">
      <c r="A196" s="17">
        <f>S196</f>
        <v>58</v>
      </c>
      <c r="B196" s="2" t="str">
        <f>IF(N192="","",N192)</f>
        <v>Ś0002</v>
      </c>
      <c r="C196" s="2">
        <f>IF(N193="","",N193)</f>
      </c>
      <c r="D196" s="2" t="str">
        <f>IF(N195="","",N195)</f>
        <v>K0034</v>
      </c>
      <c r="E196" s="2">
        <f>IF(N196="","",N196)</f>
      </c>
      <c r="I196" s="2" t="str">
        <f>"3"&amp;O190&amp;N191</f>
        <v>33Open</v>
      </c>
      <c r="J196" s="9" t="str">
        <f>IF(AC197="","",IF(AC191=3,N192,IF(AC194=3,N195,IF(AC197=3,N198,""))))</f>
        <v>Ś0002</v>
      </c>
      <c r="K196" s="9">
        <f>IF(AC197="","",IF(AC191=3,N193,IF(AC194=3,N196,IF(AC197=3,N199,""))))</f>
        <v>0</v>
      </c>
      <c r="M196" s="41" t="str">
        <f>N191</f>
        <v>Open</v>
      </c>
      <c r="N196" s="37"/>
      <c r="O196" s="36"/>
      <c r="P196" s="36"/>
      <c r="Q196" s="42">
        <f>IF(AT196&gt;0,"",IF(A196=0,"",IF(VLOOKUP(A196,'[1]plan gier'!A:S,19,FALSE)="","",VLOOKUP(A196,'[1]plan gier'!A:S,19,FALSE))))</f>
      </c>
      <c r="R196" s="111" t="s">
        <v>22</v>
      </c>
      <c r="S196" s="90">
        <v>58</v>
      </c>
      <c r="T196" s="262"/>
      <c r="U196" s="267">
        <f>IF(N196&lt;&gt;"",CONCATENATE(VLOOKUP(N196,'[1]zawodnicy'!$A:$E,1,FALSE)," ",VLOOKUP(N196,'[1]zawodnicy'!$A:$E,2,FALSE)," ",VLOOKUP(N196,'[1]zawodnicy'!$A:$E,3,FALSE)," - ",VLOOKUP(N196,'[1]zawodnicy'!$A:$E,4,FALSE)),"")</f>
      </c>
      <c r="V196" s="285"/>
      <c r="W196" s="72" t="str">
        <f>IF(SUM(AR196:AS196)=0,"",AS196&amp;":"&amp;AR196)</f>
        <v>21:19</v>
      </c>
      <c r="X196" s="87"/>
      <c r="Y196" s="73">
        <f>IF(SUM(AR195:AS195)=0,"",AR195&amp;":"&amp;AS195)</f>
      </c>
      <c r="Z196" s="262"/>
      <c r="AA196" s="290"/>
      <c r="AB196" s="290"/>
      <c r="AC196" s="292"/>
      <c r="AD196" s="2"/>
      <c r="AE196" s="11"/>
      <c r="AF196" s="11"/>
      <c r="AG196" s="111" t="s">
        <v>22</v>
      </c>
      <c r="AH196" s="83">
        <f>IF(ISBLANK(S196),"",VLOOKUP(S196,'[1]plan gier'!$X:$AN,12,FALSE))</f>
        <v>21</v>
      </c>
      <c r="AI196" s="80">
        <f>IF(ISBLANK(S196),"",VLOOKUP(S196,'[1]plan gier'!$X:$AN,13,FALSE))</f>
        <v>13</v>
      </c>
      <c r="AJ196" s="80">
        <f>IF(ISBLANK(S196),"",VLOOKUP(S196,'[1]plan gier'!$X:$AN,14,FALSE))</f>
        <v>12</v>
      </c>
      <c r="AK196" s="80">
        <f>IF(ISBLANK(S196),"",VLOOKUP(S196,'[1]plan gier'!$X:$AN,15,FALSE))</f>
        <v>21</v>
      </c>
      <c r="AL196" s="80">
        <f>IF(ISBLANK(S196),"",VLOOKUP(S196,'[1]plan gier'!$X:$AN,16,FALSE))</f>
        <v>19</v>
      </c>
      <c r="AM196" s="80">
        <f>IF(ISBLANK(S196),"",VLOOKUP(S196,'[1]plan gier'!$X:$AN,17,FALSE))</f>
        <v>21</v>
      </c>
      <c r="AN196" s="112">
        <f t="shared" si="22"/>
        <v>21</v>
      </c>
      <c r="AO196" s="80">
        <f t="shared" si="22"/>
        <v>13</v>
      </c>
      <c r="AP196" s="113">
        <f t="shared" si="22"/>
        <v>12</v>
      </c>
      <c r="AQ196" s="80">
        <f t="shared" si="22"/>
        <v>21</v>
      </c>
      <c r="AR196" s="113">
        <f t="shared" si="22"/>
        <v>19</v>
      </c>
      <c r="AS196" s="80">
        <f t="shared" si="22"/>
        <v>21</v>
      </c>
      <c r="AT196" s="103">
        <f>SUM(AN196:AS196)</f>
        <v>107</v>
      </c>
      <c r="AU196" s="12">
        <v>3</v>
      </c>
      <c r="AV196" s="83">
        <f>IF(AH194&lt;AI194,1,0)+IF(AJ194&lt;AK194,1,0)+IF(AL194&lt;AM194,1,0)</f>
        <v>2</v>
      </c>
      <c r="AW196" s="80">
        <f>AZ194</f>
        <v>0</v>
      </c>
      <c r="AX196" s="80">
        <f>IF(AH195&lt;AI195,1,0)+IF(AJ195&lt;AK195,1,0)+IF(AL195&lt;AM195,1,0)</f>
        <v>2</v>
      </c>
      <c r="AY196" s="80">
        <f>AZ195</f>
        <v>0</v>
      </c>
      <c r="AZ196" s="114"/>
      <c r="BA196" s="115"/>
      <c r="BD196" s="83">
        <f>AO194+AQ194+AS194+AO195+AQ195+AS195</f>
        <v>84</v>
      </c>
      <c r="BE196" s="85">
        <f>AN194+AP194+AR194+AN195+AP195+AR195</f>
        <v>61</v>
      </c>
      <c r="BF196" s="83">
        <f>AV196+AX196</f>
        <v>4</v>
      </c>
      <c r="BG196" s="85">
        <f>AW196+AY196</f>
        <v>0</v>
      </c>
      <c r="BH196" s="83">
        <f>IF(AV196&gt;AW196,1,0)+IF(AX196&gt;AY196,1,0)</f>
        <v>2</v>
      </c>
      <c r="BI196" s="84">
        <f>IF(AW196&gt;AV196,1,0)+IF(AY196&gt;AX196,1,0)</f>
        <v>0</v>
      </c>
      <c r="BJ196" s="86">
        <f>IF(BH196+BI196=0,"",IF(BK196=MAX(BK194:BK196),1,IF(BK196=MIN(BK194:BK196),3,2)))</f>
        <v>1</v>
      </c>
      <c r="BK196" s="18">
        <f>IF(BH196+BI196&lt;&gt;0,BH196-BI196+(BF196-BG196)/100+(BD196-BE196)/10000,-2)</f>
        <v>2.0423</v>
      </c>
    </row>
    <row r="197" spans="1:59" ht="11.25" customHeight="1">
      <c r="A197" s="2"/>
      <c r="J197" s="36"/>
      <c r="K197" s="36"/>
      <c r="L197" s="36"/>
      <c r="O197" s="36"/>
      <c r="P197" s="36"/>
      <c r="Q197" s="2"/>
      <c r="R197" s="2"/>
      <c r="S197" s="2"/>
      <c r="T197" s="269">
        <v>3</v>
      </c>
      <c r="U197" s="270">
        <f>IF(AND(N198&lt;&gt;"",N199&lt;&gt;""),CONCATENATE(VLOOKUP(N198,'[1]zawodnicy'!$A:$E,1,FALSE)," ",VLOOKUP(N198,'[1]zawodnicy'!$A:$E,2,FALSE)," ",VLOOKUP(N198,'[1]zawodnicy'!$A:$E,3,FALSE)," - ",VLOOKUP(N198,'[1]zawodnicy'!$A:$E,4,FALSE)),"")</f>
      </c>
      <c r="V197" s="299"/>
      <c r="W197" s="45" t="str">
        <f>IF(SUM(AN194:AO194)=0,"",AO194&amp;":"&amp;AN194)</f>
        <v>21:16</v>
      </c>
      <c r="X197" s="47" t="str">
        <f>IF(SUM(AN195:AO195)=0,"",AO195&amp;":"&amp;AN195)</f>
        <v>21:18</v>
      </c>
      <c r="Y197" s="116"/>
      <c r="Z197" s="269" t="str">
        <f>IF(SUM(AV196:AY196)=0,"",BD196&amp;":"&amp;BE196)</f>
        <v>84:61</v>
      </c>
      <c r="AA197" s="272" t="str">
        <f>IF(SUM(AV196:AY196)=0,"",BF196&amp;":"&amp;BG196)</f>
        <v>4:0</v>
      </c>
      <c r="AB197" s="272" t="str">
        <f>IF(SUM(AV196:AY196)=0,"",BH196&amp;":"&amp;BI196)</f>
        <v>2:0</v>
      </c>
      <c r="AC197" s="275">
        <f>IF(SUM(BH194:BH196)&gt;0,BJ196,"")</f>
        <v>1</v>
      </c>
      <c r="AD197" s="2"/>
      <c r="AE197" s="11"/>
      <c r="AF197" s="11"/>
      <c r="BD197" s="17">
        <f>SUM(BD194:BD196)</f>
        <v>252</v>
      </c>
      <c r="BE197" s="17">
        <f>SUM(BE194:BE196)</f>
        <v>252</v>
      </c>
      <c r="BF197" s="17">
        <f>SUM(BF194:BF196)</f>
        <v>7</v>
      </c>
      <c r="BG197" s="17">
        <f>SUM(BG194:BG196)</f>
        <v>7</v>
      </c>
    </row>
    <row r="198" spans="1:63" ht="11.25" customHeight="1">
      <c r="A198" s="17"/>
      <c r="J198" s="17"/>
      <c r="K198" s="17"/>
      <c r="L198" s="17"/>
      <c r="N198" s="34" t="s">
        <v>23</v>
      </c>
      <c r="O198" s="35">
        <f>IF(O190&gt;0,(O190&amp;3)*1,"")</f>
        <v>33</v>
      </c>
      <c r="Q198" s="89"/>
      <c r="R198" s="89"/>
      <c r="S198" s="90"/>
      <c r="T198" s="261"/>
      <c r="U198" s="263" t="str">
        <f>IF(AND(N198&lt;&gt;"",N199=""),CONCATENATE(VLOOKUP(N198,'[1]zawodnicy'!$A:$E,1,FALSE)," ",VLOOKUP(N198,'[1]zawodnicy'!$A:$E,2,FALSE)," ",VLOOKUP(N198,'[1]zawodnicy'!$A:$E,3,FALSE)," - ",VLOOKUP(N198,'[1]zawodnicy'!$A:$E,4,FALSE)),"")</f>
        <v>G0002 Jarosław GÓRSKI - Gorlice</v>
      </c>
      <c r="V198" s="284"/>
      <c r="W198" s="61" t="str">
        <f>IF(SUM(AP194:AQ194)=0,"",AQ194&amp;":"&amp;AP194)</f>
        <v>21:14</v>
      </c>
      <c r="X198" s="32" t="str">
        <f>IF(SUM(AP195:AQ195)=0,"",AQ195&amp;":"&amp;AP195)</f>
        <v>21:13</v>
      </c>
      <c r="Y198" s="117"/>
      <c r="Z198" s="261"/>
      <c r="AA198" s="265"/>
      <c r="AB198" s="265"/>
      <c r="AC198" s="266"/>
      <c r="AD198" s="2"/>
      <c r="AE198" s="11"/>
      <c r="AF198" s="11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spans="1:63" ht="11.25" customHeight="1" thickBot="1">
      <c r="A199" s="2"/>
      <c r="J199" s="36"/>
      <c r="K199" s="36"/>
      <c r="L199" s="36"/>
      <c r="N199" s="37"/>
      <c r="O199" s="36"/>
      <c r="P199" s="36"/>
      <c r="Q199" s="2"/>
      <c r="R199" s="2"/>
      <c r="S199" s="2"/>
      <c r="T199" s="286"/>
      <c r="U199" s="296">
        <f>IF(N199&lt;&gt;"",CONCATENATE(VLOOKUP(N199,'[1]zawodnicy'!$A:$E,1,FALSE)," ",VLOOKUP(N199,'[1]zawodnicy'!$A:$E,2,FALSE)," ",VLOOKUP(N199,'[1]zawodnicy'!$A:$E,3,FALSE)," - ",VLOOKUP(N199,'[1]zawodnicy'!$A:$E,4,FALSE)),"")</f>
      </c>
      <c r="V199" s="298"/>
      <c r="W199" s="92">
        <f>IF(SUM(AR194:AS194)=0,"",AS194&amp;":"&amp;AR194)</f>
      </c>
      <c r="X199" s="93">
        <f>IF(SUM(AR195:AS195)=0,"",AS195&amp;":"&amp;AR195)</f>
      </c>
      <c r="Y199" s="94"/>
      <c r="Z199" s="286"/>
      <c r="AA199" s="287"/>
      <c r="AB199" s="287"/>
      <c r="AC199" s="288"/>
      <c r="AD199" s="9"/>
      <c r="AE199" s="11"/>
      <c r="AF199" s="11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</row>
    <row r="200" ht="11.25" customHeight="1"/>
    <row r="201" ht="11.25" customHeight="1"/>
    <row r="202" ht="11.25" customHeight="1"/>
    <row r="203" spans="10:32" ht="11.25" customHeight="1">
      <c r="J203" s="2"/>
      <c r="N203" s="118" t="s">
        <v>70</v>
      </c>
      <c r="P203" s="119"/>
      <c r="Q203" s="1"/>
      <c r="R203" s="1"/>
      <c r="S203" s="1"/>
      <c r="T203" s="120"/>
      <c r="U203" s="121"/>
      <c r="V203" s="121"/>
      <c r="W203" s="121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1.25" customHeight="1">
      <c r="A204" s="122">
        <f>V204</f>
        <v>0</v>
      </c>
      <c r="B204" s="2" t="str">
        <f>IF(TYPE(S204)=16,"",S204)</f>
        <v>P0003</v>
      </c>
      <c r="F204" s="2" t="str">
        <f>IF(A204=0,IF(AND(LEN(B204)&gt;0,LEN(D204)=0),VLOOKUP(B204,'[1]zawodnicy'!$A:$E,1,FALSE),IF(AND(LEN(D204)&gt;0,LEN(B204)=0),VLOOKUP(D204,'[1]zawodnicy'!$A:$E,1,FALSE),"")),IF((VLOOKUP(A204,'[1]plan gier'!$X:$AF,7,FALSE))="","",VLOOKUP(VLOOKUP(A204,'[1]plan gier'!$X:$AF,7,FALSE),'[1]zawodnicy'!$A:$E,1,FALSE)))</f>
        <v>P0003</v>
      </c>
      <c r="H204" s="2">
        <f>IF(A204=0,"",IF((VLOOKUP(A204,'[1]plan gier'!$X:$AF,7,FALSE))="","",VLOOKUP(A204,'[1]plan gier'!$X:$AF,9,FALSE)))</f>
      </c>
      <c r="J204" s="123"/>
      <c r="L204" s="42">
        <f>IF(A204=0,"",IF(VLOOKUP(A204,'[1]plan gier'!A:S,19,FALSE)="","",VLOOKUP(A204,'[1]plan gier'!A:S,19,FALSE)))</f>
      </c>
      <c r="M204" s="2" t="str">
        <f>N203</f>
        <v>Open</v>
      </c>
      <c r="N204" s="124"/>
      <c r="O204" s="125"/>
      <c r="P204" s="124"/>
      <c r="Q204" s="300" t="s">
        <v>41</v>
      </c>
      <c r="R204" s="301"/>
      <c r="S204" s="302" t="str">
        <f>UPPER(IF((N203=""),"",IF(TYPE(VLOOKUP(1&amp;1&amp;N203,I:J,2,FALSE))=2,VLOOKUP(1&amp;1&amp;N203,I:J,2,FALSE),"")))</f>
        <v>P0003</v>
      </c>
      <c r="T204" s="303"/>
      <c r="U204" s="303" t="str">
        <f>IF(S204&lt;&gt;"",CONCATENATE(VLOOKUP(S204,'[1]zawodnicy'!$A:$E,2,FALSE)," ",VLOOKUP(S204,'[1]zawodnicy'!$A:$E,3,FALSE)," - ",VLOOKUP(S204,'[1]zawodnicy'!$A:$E,4,FALSE)),"")</f>
        <v>Łukasz PIENIĄŻEK - Rzeszów</v>
      </c>
      <c r="V204" s="306"/>
      <c r="W204" s="308" t="str">
        <f>IF(ISBLANK(V204),IF(AND(LEN(S204)&gt;0,LEN(S205)=0),VLOOKUP(S204,'[1]zawodnicy'!$A:$E,3,FALSE),IF(AND(LEN(S205)&gt;0,LEN(S204)=0),VLOOKUP(S205,'[1]zawodnicy'!$A:$E,3,FALSE),"")),IF((VLOOKUP(V204,'[1]plan gier'!$X:$AF,7,FALSE))="","",VLOOKUP(VLOOKUP(V204,'[1]plan gier'!$X:$AF,7,FALSE),'[1]zawodnicy'!$A:$E,3,FALSE)))</f>
        <v>PIENIĄŻEK</v>
      </c>
      <c r="X204" s="309"/>
      <c r="Y204" s="309"/>
      <c r="Z204" s="2"/>
      <c r="AA204" s="2"/>
      <c r="AB204" s="2"/>
      <c r="AC204" s="2"/>
      <c r="AD204" s="2"/>
      <c r="AE204" s="2"/>
      <c r="AF204" s="2"/>
    </row>
    <row r="205" spans="10:32" ht="11.25" customHeight="1">
      <c r="J205" s="123"/>
      <c r="N205" s="124"/>
      <c r="O205" s="125"/>
      <c r="P205" s="124"/>
      <c r="Q205" s="300"/>
      <c r="R205" s="301"/>
      <c r="S205" s="304"/>
      <c r="T205" s="305"/>
      <c r="U205" s="305"/>
      <c r="V205" s="307"/>
      <c r="W205" s="310"/>
      <c r="X205" s="311"/>
      <c r="Y205" s="312"/>
      <c r="Z205" s="2"/>
      <c r="AA205" s="2"/>
      <c r="AB205" s="2"/>
      <c r="AC205" s="2"/>
      <c r="AD205" s="2"/>
      <c r="AE205" s="2"/>
      <c r="AF205" s="2"/>
    </row>
    <row r="206" spans="1:32" ht="11.25" customHeight="1">
      <c r="A206" s="126">
        <f>Y206</f>
        <v>61</v>
      </c>
      <c r="B206" s="2" t="str">
        <f>F204</f>
        <v>P0003</v>
      </c>
      <c r="D206" s="2" t="str">
        <f>F208</f>
        <v>K0034</v>
      </c>
      <c r="F206" s="2" t="str">
        <f>IF(A206=0,IF(AND(LEN(B206)&gt;0,LEN(D206)=0),B206,IF(AND(LEN(D206)&gt;0,LEN(B206)=0),D206,"")),IF((VLOOKUP(A206,'[1]plan gier'!$X:$AF,7,FALSE))="","",VLOOKUP(VLOOKUP(A206,'[1]plan gier'!$X:$AF,7,FALSE),'[1]zawodnicy'!$A:$E,1,FALSE)))</f>
        <v>P0003</v>
      </c>
      <c r="H206" s="2" t="str">
        <f>IF(A206=0,"",IF((VLOOKUP(A206,'[1]plan gier'!$X:$AF,7,FALSE))="","",VLOOKUP(A206,'[1]plan gier'!$X:$AF,9,FALSE)))</f>
        <v>21:16,21:10</v>
      </c>
      <c r="J206" s="123"/>
      <c r="L206" s="42" t="str">
        <f>IF(A206=0,"",IF(VLOOKUP(A206,'[1]plan gier'!A:S,19,FALSE)="","",VLOOKUP(A206,'[1]plan gier'!A:S,19,FALSE)))</f>
        <v>godz.14:00</v>
      </c>
      <c r="M206" s="2" t="str">
        <f>N203</f>
        <v>Open</v>
      </c>
      <c r="N206" s="124"/>
      <c r="O206" s="125"/>
      <c r="P206" s="124"/>
      <c r="S206" s="8"/>
      <c r="T206" s="127"/>
      <c r="U206" s="2"/>
      <c r="V206" s="2"/>
      <c r="W206" s="128"/>
      <c r="X206" s="9"/>
      <c r="Y206" s="129">
        <v>61</v>
      </c>
      <c r="Z206" s="309" t="str">
        <f>IF(ISBLANK(Y206),IF(AND(LEN(W204)&gt;0,LEN(W208)=0),W204,IF(AND(LEN(W208)&gt;0,LEN(W204)=0),W208,"")),IF((VLOOKUP(Y206,'[1]plan gier'!$X:$AF,7,FALSE))="","",VLOOKUP(VLOOKUP(Y206,'[1]plan gier'!$X:$AF,7,FALSE),'[1]zawodnicy'!$A:$E,3,FALSE)))</f>
        <v>PIENIĄŻEK</v>
      </c>
      <c r="AA206" s="309"/>
      <c r="AB206" s="309"/>
      <c r="AC206" s="2"/>
      <c r="AD206" s="2"/>
      <c r="AE206" s="2"/>
      <c r="AF206" s="2"/>
    </row>
    <row r="207" spans="10:63" ht="11.25" customHeight="1">
      <c r="J207" s="123"/>
      <c r="N207" s="124"/>
      <c r="O207" s="125"/>
      <c r="P207" s="124"/>
      <c r="S207" s="8"/>
      <c r="T207" s="127"/>
      <c r="U207" s="2"/>
      <c r="V207" s="2"/>
      <c r="W207" s="128"/>
      <c r="X207" s="9"/>
      <c r="Y207" s="130"/>
      <c r="Z207" s="311" t="str">
        <f>IF(ISBLANK(Y206),"",IF((VLOOKUP(Y206,'[1]plan gier'!$X:$AF,7,FALSE))="",L206,VLOOKUP(Y206,'[1]plan gier'!$X:$AF,9,FALSE)))</f>
        <v>21:16,21:10</v>
      </c>
      <c r="AA207" s="311"/>
      <c r="AB207" s="31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</row>
    <row r="208" spans="1:63" ht="11.25" customHeight="1">
      <c r="A208" s="122">
        <f>V208</f>
        <v>59</v>
      </c>
      <c r="B208" s="2" t="str">
        <f>IF(TYPE(S208)=16,"",S208)</f>
        <v>K0034</v>
      </c>
      <c r="D208" s="2" t="str">
        <f>IF(TYPE(S209)=16,"",S209)</f>
        <v>M0019</v>
      </c>
      <c r="F208" s="2" t="str">
        <f>IF(A208=0,IF(AND(LEN(B208)&gt;0,LEN(D208)=0),VLOOKUP(B208,'[1]zawodnicy'!$A:$E,1,FALSE),IF(AND(LEN(D208)&gt;0,LEN(B208)=0),VLOOKUP(D208,'[1]zawodnicy'!$A:$E,1,FALSE),"")),IF((VLOOKUP(A208,'[1]plan gier'!$X:$AF,7,FALSE))="","",VLOOKUP(VLOOKUP(A208,'[1]plan gier'!$X:$AF,7,FALSE),'[1]zawodnicy'!$A:$E,1,FALSE)))</f>
        <v>K0034</v>
      </c>
      <c r="H208" s="2" t="str">
        <f>IF(A208=0,"",IF((VLOOKUP(A208,'[1]plan gier'!$X:$AF,7,FALSE))="","",VLOOKUP(A208,'[1]plan gier'!$X:$AF,9,FALSE)))</f>
        <v>21:13,21:10</v>
      </c>
      <c r="J208" s="123"/>
      <c r="L208" s="42" t="str">
        <f>IF(A208=0,"",IF(VLOOKUP(A208,'[1]plan gier'!A:S,19,FALSE)="","",VLOOKUP(A208,'[1]plan gier'!A:S,19,FALSE)))</f>
        <v>godz.13:40</v>
      </c>
      <c r="M208" s="2" t="str">
        <f>N203</f>
        <v>Open</v>
      </c>
      <c r="N208" s="124"/>
      <c r="O208" s="125"/>
      <c r="P208" s="124"/>
      <c r="Q208" s="19" t="s">
        <v>47</v>
      </c>
      <c r="S208" s="313" t="str">
        <f>UPPER(IF(N203="","",IF(TYPE(VLOOKUP(2&amp;3&amp;N203,I:J,2,FALSE))=2,VLOOKUP(2&amp;3&amp;N203,I:J,2,FALSE),"")))</f>
        <v>K0034</v>
      </c>
      <c r="T208" s="314"/>
      <c r="U208" s="131" t="str">
        <f>IF(S208&lt;&gt;"",CONCATENATE(VLOOKUP(S208,'[1]zawodnicy'!$A:$E,2,FALSE)," ",VLOOKUP(S208,'[1]zawodnicy'!$A:$E,3,FALSE)," - ",VLOOKUP(S208,'[1]zawodnicy'!$A:$E,4,FALSE)),"")</f>
        <v>Marcin KOWALIK - Rzeszów</v>
      </c>
      <c r="V208" s="132">
        <v>59</v>
      </c>
      <c r="W208" s="308" t="str">
        <f>IF(ISBLANK(V208),IF(AND(LEN(S208)&gt;0,LEN(S209)=0),VLOOKUP(S208,'[1]zawodnicy'!$A:$E,3,FALSE),IF(AND(LEN(S209)&gt;0,LEN(S208)=0),VLOOKUP(S209,'[1]zawodnicy'!$A:$E,3,FALSE),"")),IF((VLOOKUP(V208,'[1]plan gier'!$X:$AF,7,FALSE))="","",VLOOKUP(VLOOKUP(V208,'[1]plan gier'!$X:$AF,7,FALSE),'[1]zawodnicy'!$A:$E,3,FALSE)))</f>
        <v>KOWALIK</v>
      </c>
      <c r="X208" s="309"/>
      <c r="Y208" s="315"/>
      <c r="Z208" s="9"/>
      <c r="AA208" s="9"/>
      <c r="AB208" s="133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</row>
    <row r="209" spans="10:63" ht="11.25" customHeight="1">
      <c r="J209" s="123"/>
      <c r="N209" s="124"/>
      <c r="O209" s="125"/>
      <c r="P209" s="124"/>
      <c r="Q209" s="19" t="s">
        <v>48</v>
      </c>
      <c r="S209" s="313" t="str">
        <f>UPPER(IF(N203="","",IF(TYPE(VLOOKUP(2&amp;2&amp;N203,I:J,2,FALSE))=2,VLOOKUP(2&amp;2&amp;N203,I:J,2,FALSE),"")))</f>
        <v>M0019</v>
      </c>
      <c r="T209" s="314"/>
      <c r="U209" s="131" t="str">
        <f>IF(S209&lt;&gt;"",CONCATENATE(VLOOKUP(S209,'[1]zawodnicy'!$A:$E,2,FALSE)," ",VLOOKUP(S209,'[1]zawodnicy'!$A:$E,3,FALSE)," - ",VLOOKUP(S209,'[1]zawodnicy'!$A:$E,4,FALSE)),"")</f>
        <v>Grzegorz MAC  - Rzeszów</v>
      </c>
      <c r="V209" s="134"/>
      <c r="W209" s="316" t="str">
        <f>IF(ISBLANK(V208),"",IF((VLOOKUP(V208,'[1]plan gier'!$X:$AF,7,FALSE))="",L208,VLOOKUP(V208,'[1]plan gier'!$X:$AF,9,FALSE)))</f>
        <v>21:13,21:10</v>
      </c>
      <c r="X209" s="317"/>
      <c r="Y209" s="317"/>
      <c r="Z209" s="9"/>
      <c r="AA209" s="9"/>
      <c r="AB209" s="133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spans="1:63" ht="11.25" customHeight="1">
      <c r="A210" s="135">
        <f>AB210</f>
        <v>64</v>
      </c>
      <c r="B210" s="2" t="str">
        <f>F206</f>
        <v>P0003</v>
      </c>
      <c r="D210" s="2" t="str">
        <f>F214</f>
        <v>M0012</v>
      </c>
      <c r="F210" s="2" t="str">
        <f>IF(A210=0,IF(AND(LEN(B210)&gt;0,LEN(D210)=0),B210,IF(AND(LEN(D210)&gt;0,LEN(B210)=0),D210,"")),IF((VLOOKUP(A210,'[1]plan gier'!$X:$AF,7,FALSE))="","",VLOOKUP(VLOOKUP(A210,'[1]plan gier'!$X:$AF,7,FALSE),'[1]zawodnicy'!$A:$E,1,FALSE)))</f>
        <v>P0003</v>
      </c>
      <c r="H210" s="2" t="str">
        <f>IF(A210=0,"",IF((VLOOKUP(A210,'[1]plan gier'!$X:$AF,7,FALSE))="","",VLOOKUP(A210,'[1]plan gier'!$X:$AF,9,FALSE)))</f>
        <v>21:18,21:9</v>
      </c>
      <c r="J210" s="123"/>
      <c r="L210" s="42" t="str">
        <f>IF(A210=0,"",IF(VLOOKUP(A210,'[1]plan gier'!A:S,19,FALSE)="","",VLOOKUP(A210,'[1]plan gier'!A:S,19,FALSE)))</f>
        <v>godz.14:00</v>
      </c>
      <c r="M210" s="2" t="str">
        <f>N203</f>
        <v>Open</v>
      </c>
      <c r="N210" s="124"/>
      <c r="O210" s="125"/>
      <c r="P210" s="124"/>
      <c r="S210" s="8"/>
      <c r="T210" s="127"/>
      <c r="U210" s="128"/>
      <c r="V210" s="2"/>
      <c r="W210" s="9"/>
      <c r="X210" s="2"/>
      <c r="Y210" s="2"/>
      <c r="Z210" s="9"/>
      <c r="AA210" s="9"/>
      <c r="AB210" s="129">
        <v>64</v>
      </c>
      <c r="AC210" s="309" t="str">
        <f>IF(ISBLANK(AB210),IF(AND(LEN(Z206)&gt;0,LEN(Z214)=0),Z206,IF(AND(LEN(Z214)&gt;0,LEN(Z206)=0),Z214,"")),IF((VLOOKUP(AB210,'[1]plan gier'!$X:$AF,7,FALSE))="","",VLOOKUP(VLOOKUP(AB210,'[1]plan gier'!$X:$AF,7,FALSE),'[1]zawodnicy'!$A:$E,3,FALSE)))</f>
        <v>PIENIĄŻEK</v>
      </c>
      <c r="AD210" s="309"/>
      <c r="AE210" s="309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</row>
    <row r="211" spans="10:63" ht="11.25" customHeight="1">
      <c r="J211" s="123"/>
      <c r="N211" s="124"/>
      <c r="O211" s="125"/>
      <c r="P211" s="124"/>
      <c r="S211" s="8"/>
      <c r="T211" s="127"/>
      <c r="U211" s="128"/>
      <c r="V211" s="2"/>
      <c r="W211" s="9"/>
      <c r="X211" s="2"/>
      <c r="Y211" s="2"/>
      <c r="Z211" s="9"/>
      <c r="AA211" s="9"/>
      <c r="AB211" s="130"/>
      <c r="AC211" s="311" t="str">
        <f>IF(ISBLANK(AB210),"",IF((VLOOKUP(AB210,'[1]plan gier'!$X:$AF,7,FALSE))="",L210,VLOOKUP(AB210,'[1]plan gier'!$X:$AF,9,FALSE)))</f>
        <v>21:18,21:9</v>
      </c>
      <c r="AD211" s="311"/>
      <c r="AE211" s="311"/>
      <c r="AF211" s="9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</row>
    <row r="212" spans="1:63" ht="11.25" customHeight="1">
      <c r="A212" s="122">
        <f>V212</f>
        <v>60</v>
      </c>
      <c r="B212" s="2" t="str">
        <f>IF(TYPE(S212)=16,"",S212)</f>
        <v>M0012</v>
      </c>
      <c r="D212" s="2" t="str">
        <f>IF(TYPE(S213)=16,"",S213)</f>
        <v>W0010</v>
      </c>
      <c r="F212" s="2" t="str">
        <f>IF(A212=0,IF(AND(LEN(B212)&gt;0,LEN(D212)=0),VLOOKUP(B212,'[1]zawodnicy'!$A:$E,1,FALSE),IF(AND(LEN(D212)&gt;0,LEN(B212)=0),VLOOKUP(D212,'[1]zawodnicy'!$A:$E,1,FALSE),"")),IF((VLOOKUP(A212,'[1]plan gier'!$X:$AF,7,FALSE))="","",VLOOKUP(VLOOKUP(A212,'[1]plan gier'!$X:$AF,7,FALSE),'[1]zawodnicy'!$A:$E,1,FALSE)))</f>
        <v>M0012</v>
      </c>
      <c r="H212" s="2" t="str">
        <f>IF(A212=0,"",IF((VLOOKUP(A212,'[1]plan gier'!$X:$AF,7,FALSE))="","",VLOOKUP(A212,'[1]plan gier'!$X:$AF,9,FALSE)))</f>
        <v>23:21,17:21,21:9</v>
      </c>
      <c r="J212" s="123"/>
      <c r="L212" s="42" t="str">
        <f>IF(A212=0,"",IF(VLOOKUP(A212,'[1]plan gier'!A:S,19,FALSE)="","",VLOOKUP(A212,'[1]plan gier'!A:S,19,FALSE)))</f>
        <v>godz.13:40</v>
      </c>
      <c r="M212" s="2" t="str">
        <f>N203</f>
        <v>Open</v>
      </c>
      <c r="N212" s="124"/>
      <c r="O212" s="125"/>
      <c r="P212" s="124"/>
      <c r="Q212" s="19" t="s">
        <v>50</v>
      </c>
      <c r="S212" s="313" t="str">
        <f>UPPER(IF(N203="","",IF(TYPE(VLOOKUP(2&amp;1&amp;N203,I:J,2,FALSE))=2,VLOOKUP(2&amp;1&amp;N203,I:J,2,FALSE),"")))</f>
        <v>M0012</v>
      </c>
      <c r="T212" s="314"/>
      <c r="U212" s="131" t="str">
        <f>IF(S212&lt;&gt;"",CONCATENATE(VLOOKUP(S212,'[1]zawodnicy'!$A:$E,2,FALSE)," ",VLOOKUP(S212,'[1]zawodnicy'!$A:$E,3,FALSE)," - ",VLOOKUP(S212,'[1]zawodnicy'!$A:$E,4,FALSE)),"")</f>
        <v>Jarosław MAZUR - Mielec</v>
      </c>
      <c r="V212" s="132">
        <v>60</v>
      </c>
      <c r="W212" s="308" t="str">
        <f>IF(ISBLANK(V212),IF(AND(LEN(S212)&gt;0,LEN(S213)=0),VLOOKUP(S212,'[1]zawodnicy'!$A:$E,3,FALSE),IF(AND(LEN(S213)&gt;0,LEN(S212)=0),VLOOKUP(S213,'[1]zawodnicy'!$A:$E,3,FALSE),"")),IF((VLOOKUP(V212,'[1]plan gier'!$X:$AF,7,FALSE))="","",VLOOKUP(VLOOKUP(V212,'[1]plan gier'!$X:$AF,7,FALSE),'[1]zawodnicy'!$A:$E,3,FALSE)))</f>
        <v>MAZUR</v>
      </c>
      <c r="X212" s="309"/>
      <c r="Y212" s="309"/>
      <c r="Z212" s="9"/>
      <c r="AA212" s="9"/>
      <c r="AB212" s="133"/>
      <c r="AC212" s="9"/>
      <c r="AD212" s="9"/>
      <c r="AE212" s="9"/>
      <c r="AF212" s="9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</row>
    <row r="213" spans="10:63" ht="11.25" customHeight="1">
      <c r="J213" s="123"/>
      <c r="N213" s="124"/>
      <c r="O213" s="125"/>
      <c r="P213" s="124"/>
      <c r="Q213" s="19" t="s">
        <v>44</v>
      </c>
      <c r="S213" s="313" t="str">
        <f>UPPER(IF(N203="","",IF(TYPE(VLOOKUP(1&amp;2&amp;N203,I:J,2,FALSE))=2,VLOOKUP(1&amp;2&amp;N203,I:J,2,FALSE),"")))</f>
        <v>W0010</v>
      </c>
      <c r="T213" s="314"/>
      <c r="U213" s="131" t="str">
        <f>IF(S213&lt;&gt;"",CONCATENATE(VLOOKUP(S213,'[1]zawodnicy'!$A:$E,2,FALSE)," ",VLOOKUP(S213,'[1]zawodnicy'!$A:$E,3,FALSE)," - ",VLOOKUP(S213,'[1]zawodnicy'!$A:$E,4,FALSE)),"")</f>
        <v>Dariusz WALAS - Rzeszów</v>
      </c>
      <c r="V213" s="134"/>
      <c r="W213" s="310" t="str">
        <f>IF(ISBLANK(V212),"",IF((VLOOKUP(V212,'[1]plan gier'!$X:$AF,7,FALSE))="",L212,VLOOKUP(V212,'[1]plan gier'!$X:$AF,9,FALSE)))</f>
        <v>23:21,17:21,21:9</v>
      </c>
      <c r="X213" s="311"/>
      <c r="Y213" s="312"/>
      <c r="Z213" s="9"/>
      <c r="AA213" s="9"/>
      <c r="AB213" s="133"/>
      <c r="AC213" s="9"/>
      <c r="AD213" s="9"/>
      <c r="AE213" s="9"/>
      <c r="AF213" s="9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</row>
    <row r="214" spans="1:63" ht="11.25" customHeight="1">
      <c r="A214" s="126">
        <f>Y214</f>
        <v>62</v>
      </c>
      <c r="B214" s="2" t="str">
        <f>F212</f>
        <v>M0012</v>
      </c>
      <c r="D214" s="2" t="str">
        <f>F216</f>
        <v>G0002</v>
      </c>
      <c r="F214" s="2" t="str">
        <f>IF(A214=0,IF(AND(LEN(B214)&gt;0,LEN(D214)=0),B214,IF(AND(LEN(D214)&gt;0,LEN(B214)=0),D214,"")),IF((VLOOKUP(A214,'[1]plan gier'!$X:$AF,7,FALSE))="","",VLOOKUP(VLOOKUP(A214,'[1]plan gier'!$X:$AF,7,FALSE),'[1]zawodnicy'!$A:$E,1,FALSE)))</f>
        <v>M0012</v>
      </c>
      <c r="H214" s="2" t="str">
        <f>IF(A214=0,"",IF((VLOOKUP(A214,'[1]plan gier'!$X:$AF,7,FALSE))="","",VLOOKUP(A214,'[1]plan gier'!$X:$AF,9,FALSE)))</f>
        <v>21:0,21:0</v>
      </c>
      <c r="J214" s="123"/>
      <c r="L214" s="42" t="str">
        <f>IF(A214=0,"",IF(VLOOKUP(A214,'[1]plan gier'!A:S,19,FALSE)="","",VLOOKUP(A214,'[1]plan gier'!A:S,19,FALSE)))</f>
        <v>godz.14:00</v>
      </c>
      <c r="M214" s="2" t="str">
        <f>N203</f>
        <v>Open</v>
      </c>
      <c r="N214" s="124"/>
      <c r="O214" s="125"/>
      <c r="P214" s="124"/>
      <c r="S214" s="8"/>
      <c r="T214" s="127"/>
      <c r="U214" s="2"/>
      <c r="V214" s="2"/>
      <c r="W214" s="128"/>
      <c r="X214" s="9"/>
      <c r="Y214" s="129">
        <v>62</v>
      </c>
      <c r="Z214" s="309" t="str">
        <f>IF(ISBLANK(Y214),IF(AND(LEN(W212)&gt;0,LEN(W216)=0),W212,IF(AND(LEN(W216)&gt;0,LEN(W212)=0),W216,"")),IF((VLOOKUP(Y214,'[1]plan gier'!$X:$AF,7,FALSE))="","",VLOOKUP(VLOOKUP(Y214,'[1]plan gier'!$X:$AF,7,FALSE),'[1]zawodnicy'!$A:$E,3,FALSE)))</f>
        <v>MAZUR</v>
      </c>
      <c r="AA214" s="309"/>
      <c r="AB214" s="315"/>
      <c r="AC214" s="9"/>
      <c r="AD214" s="9"/>
      <c r="AE214" s="9"/>
      <c r="AF214" s="9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</row>
    <row r="215" spans="10:63" ht="11.25" customHeight="1">
      <c r="J215" s="123"/>
      <c r="N215" s="124"/>
      <c r="O215" s="125"/>
      <c r="P215" s="124"/>
      <c r="S215" s="8"/>
      <c r="T215" s="127"/>
      <c r="U215" s="2"/>
      <c r="V215" s="2"/>
      <c r="W215" s="128"/>
      <c r="X215" s="9"/>
      <c r="Y215" s="130"/>
      <c r="Z215" s="317" t="str">
        <f>IF(ISBLANK(Y214),"",IF((VLOOKUP(Y214,'[1]plan gier'!$X:$AF,7,FALSE))="",L214,VLOOKUP(Y214,'[1]plan gier'!$X:$AF,9,FALSE)))</f>
        <v>21:0,21:0</v>
      </c>
      <c r="AA215" s="317"/>
      <c r="AB215" s="317"/>
      <c r="AC215" s="9"/>
      <c r="AD215" s="9"/>
      <c r="AE215" s="9"/>
      <c r="AF215" s="9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</row>
    <row r="216" spans="1:63" ht="11.25" customHeight="1">
      <c r="A216" s="122">
        <f>V216</f>
        <v>0</v>
      </c>
      <c r="B216" s="2" t="str">
        <f>IF(TYPE(S216)=16,"",S216)</f>
        <v>G0002</v>
      </c>
      <c r="F216" s="2" t="str">
        <f>IF(A216=0,IF(AND(LEN(B216)&gt;0,LEN(D216)=0),VLOOKUP(B216,'[1]zawodnicy'!$A:$E,1,FALSE),IF(AND(LEN(D216)&gt;0,LEN(B216)=0),VLOOKUP(D216,'[1]zawodnicy'!$A:$E,1,FALSE),"")),IF((VLOOKUP(A216,'[1]plan gier'!$X:$AF,7,FALSE))="","",VLOOKUP(VLOOKUP(A216,'[1]plan gier'!$X:$AF,7,FALSE),'[1]zawodnicy'!$A:$E,1,FALSE)))</f>
        <v>G0002</v>
      </c>
      <c r="H216" s="2">
        <f>IF(A216=0,"",IF((VLOOKUP(A216,'[1]plan gier'!$X:$AF,7,FALSE))="","",VLOOKUP(A216,'[1]plan gier'!$X:$AF,9,FALSE)))</f>
      </c>
      <c r="J216" s="123"/>
      <c r="L216" s="42">
        <f>IF(A216=0,"",IF(VLOOKUP(A216,'[1]plan gier'!A:S,19,FALSE)="","",VLOOKUP(A216,'[1]plan gier'!A:S,19,FALSE)))</f>
      </c>
      <c r="M216" s="2" t="str">
        <f>N203</f>
        <v>Open</v>
      </c>
      <c r="N216" s="124"/>
      <c r="O216" s="125"/>
      <c r="P216" s="124"/>
      <c r="Q216" s="300" t="s">
        <v>42</v>
      </c>
      <c r="R216" s="301"/>
      <c r="S216" s="302" t="str">
        <f>UPPER(IF(N203="","",IF(TYPE(VLOOKUP(1&amp;3&amp;N203,I:J,2,FALSE))=2,VLOOKUP(1&amp;3&amp;N203,I:J,2,FALSE),"")))</f>
        <v>G0002</v>
      </c>
      <c r="T216" s="303"/>
      <c r="U216" s="303" t="str">
        <f>IF(S216&lt;&gt;"",CONCATENATE(VLOOKUP(S216,'[1]zawodnicy'!$A:$E,2,FALSE)," ",VLOOKUP(S216,'[1]zawodnicy'!$A:$E,3,FALSE)," - ",VLOOKUP(S216,'[1]zawodnicy'!$A:$E,4,FALSE)),"")</f>
        <v>Jarosław GÓRSKI - Gorlice</v>
      </c>
      <c r="V216" s="306"/>
      <c r="W216" s="308" t="str">
        <f>IF(ISBLANK(V216),IF(AND(LEN(S216)&gt;0,LEN(S217)=0),VLOOKUP(S216,'[1]zawodnicy'!$A:$E,3,FALSE),IF(AND(LEN(S217)&gt;0,LEN(S216)=0),VLOOKUP(S217,'[1]zawodnicy'!$A:$E,3,FALSE),"")),IF((VLOOKUP(V216,'[1]plan gier'!$X:$AF,7,FALSE))="","",VLOOKUP(VLOOKUP(V216,'[1]plan gier'!$X:$AF,7,FALSE),'[1]zawodnicy'!$A:$E,3,FALSE)))</f>
        <v>GÓRSKI</v>
      </c>
      <c r="X216" s="309"/>
      <c r="Y216" s="315"/>
      <c r="Z216" s="2"/>
      <c r="AA216" s="2"/>
      <c r="AB216" s="2"/>
      <c r="AC216" s="128"/>
      <c r="AD216" s="128"/>
      <c r="AE216" s="128"/>
      <c r="AF216" s="9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</row>
    <row r="217" spans="10:63" ht="11.25" customHeight="1">
      <c r="J217" s="123"/>
      <c r="N217" s="124"/>
      <c r="O217" s="125"/>
      <c r="P217" s="124"/>
      <c r="Q217" s="300"/>
      <c r="R217" s="301"/>
      <c r="S217" s="304"/>
      <c r="T217" s="305"/>
      <c r="U217" s="305"/>
      <c r="V217" s="307"/>
      <c r="W217" s="316"/>
      <c r="X217" s="317"/>
      <c r="Y217" s="317"/>
      <c r="Z217" s="2"/>
      <c r="AA217" s="2"/>
      <c r="AB217" s="2"/>
      <c r="AC217" s="9"/>
      <c r="AD217" s="9"/>
      <c r="AE217" s="9"/>
      <c r="AF217" s="9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</row>
    <row r="218" spans="62:63" ht="11.25" customHeight="1">
      <c r="BJ218" s="18"/>
      <c r="BK218" s="2"/>
    </row>
    <row r="219" spans="19:63" ht="12" customHeight="1">
      <c r="S219" s="317"/>
      <c r="T219" s="317"/>
      <c r="U219" s="317"/>
      <c r="V219" s="317"/>
      <c r="W219" s="317"/>
      <c r="X219" s="317"/>
      <c r="Y219" s="317"/>
      <c r="Z219" s="317"/>
      <c r="AA219" s="317"/>
      <c r="AB219" s="317"/>
      <c r="AC219" s="252"/>
      <c r="AD219" s="252"/>
      <c r="AE219" s="252"/>
      <c r="BJ219" s="18"/>
      <c r="BK219" s="2"/>
    </row>
    <row r="220" ht="11.25" customHeight="1"/>
    <row r="221" ht="11.25" customHeight="1">
      <c r="U221" s="19" t="s">
        <v>53</v>
      </c>
    </row>
    <row r="222" ht="11.25" customHeight="1"/>
    <row r="223" spans="10:63" ht="11.25" customHeight="1">
      <c r="J223" s="2"/>
      <c r="K223" s="2"/>
      <c r="L223" s="2"/>
      <c r="M223" s="142"/>
      <c r="N223" s="143" t="str">
        <f>M225</f>
        <v>Open</v>
      </c>
      <c r="O223" s="119"/>
      <c r="P223" s="119"/>
      <c r="Q223" s="1"/>
      <c r="R223" s="1"/>
      <c r="S223" s="317" t="s">
        <v>54</v>
      </c>
      <c r="T223" s="317"/>
      <c r="U223" s="317"/>
      <c r="V223" s="317"/>
      <c r="W223" s="317" t="s">
        <v>55</v>
      </c>
      <c r="X223" s="317"/>
      <c r="Y223" s="317"/>
      <c r="Z223" s="317"/>
      <c r="AA223" s="317"/>
      <c r="AB223" s="317"/>
      <c r="AC223" s="128"/>
      <c r="AD223" s="128"/>
      <c r="AE223" s="128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</row>
    <row r="224" spans="10:63" ht="11.25" customHeight="1">
      <c r="J224" s="2"/>
      <c r="K224" s="2"/>
      <c r="L224" s="2"/>
      <c r="N224" s="143" t="s">
        <v>56</v>
      </c>
      <c r="P224" s="119"/>
      <c r="Q224" s="1"/>
      <c r="R224" s="1"/>
      <c r="S224" s="1"/>
      <c r="T224" s="120"/>
      <c r="U224" s="121"/>
      <c r="V224" s="121"/>
      <c r="W224" s="121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</row>
    <row r="225" spans="1:63" ht="11.25" customHeight="1">
      <c r="A225" s="122">
        <f>V225</f>
        <v>63</v>
      </c>
      <c r="B225" s="2" t="str">
        <f>IF(S225="","",S225)</f>
        <v>K0034</v>
      </c>
      <c r="D225" s="2" t="str">
        <f>IF(S226="","",S226)</f>
        <v>G0002</v>
      </c>
      <c r="F225" s="2" t="str">
        <f>IF(A225=0,IF(AND(LEN(B225)&gt;0,LEN(D225)=0),VLOOKUP(B225,'[1]zawodnicy'!$A:$E,1,FALSE),IF(AND(LEN(D225)&gt;0,LEN(B225)=0),VLOOKUP(D225,'[1]zawodnicy'!$A:$E,1,FALSE),"")),IF((VLOOKUP(A225,'[1]plan gier'!$X:$AF,7,FALSE))="","",VLOOKUP(VLOOKUP(A225,'[1]plan gier'!$X:$AF,7,FALSE),'[1]zawodnicy'!$A:$E,1,FALSE)))</f>
        <v>K0034</v>
      </c>
      <c r="H225" s="2" t="str">
        <f>IF(A225=0,"",IF((VLOOKUP(A225,'[1]plan gier'!$X:$AF,7,FALSE))="","",VLOOKUP(A225,'[1]plan gier'!$X:$AF,9,FALSE)))</f>
        <v>21:0,21:0</v>
      </c>
      <c r="J225" s="123"/>
      <c r="K225" s="123"/>
      <c r="L225" s="144" t="str">
        <f>IF(A225=0,"",IF(VLOOKUP(A225,'[1]plan gier'!A:S,19,FALSE)="","",VLOOKUP(A225,'[1]plan gier'!A:S,19,FALSE)))</f>
        <v>godz.14:00</v>
      </c>
      <c r="M225" s="2" t="str">
        <f>IF(N225="","",VLOOKUP(N225,A:M,13,FALSE))</f>
        <v>Open</v>
      </c>
      <c r="N225" s="145">
        <v>61</v>
      </c>
      <c r="O225" s="146"/>
      <c r="P225" s="124"/>
      <c r="S225" s="313" t="str">
        <f>IF(N225="","",IF(LEN(VLOOKUP(N225,A:M,6,FALSE))=0,"",IF(VLOOKUP(N225,A:M,6,FALSE)=VLOOKUP(N225,A:M,2,FALSE),VLOOKUP(N225,A:M,4,FALSE),VLOOKUP(N225,A:M,2,FALSE))))</f>
        <v>K0034</v>
      </c>
      <c r="T225" s="314"/>
      <c r="U225" s="131" t="str">
        <f>IF(S225&lt;&gt;"",CONCATENATE(VLOOKUP(S225,'[1]zawodnicy'!$A:$E,2,FALSE)," ",VLOOKUP(S225,'[1]zawodnicy'!$A:$E,3,FALSE)," - ",VLOOKUP(S225,'[1]zawodnicy'!$A:$E,4,FALSE)),"")</f>
        <v>Marcin KOWALIK - Rzeszów</v>
      </c>
      <c r="V225" s="132">
        <v>63</v>
      </c>
      <c r="W225" s="308" t="str">
        <f>IF(F225="","",VLOOKUP(F225,'[1]zawodnicy'!$A:$D,3,FALSE))</f>
        <v>KOWALIK</v>
      </c>
      <c r="X225" s="309"/>
      <c r="Y225" s="309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</row>
    <row r="226" spans="10:63" ht="11.25" customHeight="1">
      <c r="J226" s="123"/>
      <c r="K226" s="123"/>
      <c r="L226" s="123"/>
      <c r="N226" s="145">
        <v>62</v>
      </c>
      <c r="O226" s="146"/>
      <c r="P226" s="124"/>
      <c r="S226" s="313" t="str">
        <f>IF(N226="","",IF(LEN(VLOOKUP(N226,A:M,6,FALSE))=0,"",IF(VLOOKUP(N226,A:M,6,FALSE)=VLOOKUP(N226,A:M,2,FALSE),VLOOKUP(N226,A:M,4,FALSE),VLOOKUP(N226,A:M,2,FALSE))))</f>
        <v>G0002</v>
      </c>
      <c r="T226" s="314"/>
      <c r="U226" s="131" t="str">
        <f>IF(S226&lt;&gt;"",CONCATENATE(VLOOKUP(S226,'[1]zawodnicy'!$A:$E,2,FALSE)," ",VLOOKUP(S226,'[1]zawodnicy'!$A:$E,3,FALSE)," - ",VLOOKUP(S226,'[1]zawodnicy'!$A:$E,4,FALSE)),"")</f>
        <v>Jarosław GÓRSKI - Gorlice</v>
      </c>
      <c r="V226" s="134"/>
      <c r="W226" s="310" t="str">
        <f>IF(H225="",L225,H225)</f>
        <v>21:0,21:0</v>
      </c>
      <c r="X226" s="311"/>
      <c r="Y226" s="311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</row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</sheetData>
  <sheetProtection password="A6CF" sheet="1"/>
  <mergeCells count="604">
    <mergeCell ref="Z219:AB219"/>
    <mergeCell ref="AC219:AE219"/>
    <mergeCell ref="S223:V223"/>
    <mergeCell ref="W223:Y223"/>
    <mergeCell ref="Z223:AB223"/>
    <mergeCell ref="S225:T225"/>
    <mergeCell ref="W225:Y225"/>
    <mergeCell ref="S226:T226"/>
    <mergeCell ref="W226:Y226"/>
    <mergeCell ref="S219:V219"/>
    <mergeCell ref="W219:Y219"/>
    <mergeCell ref="AC211:AE211"/>
    <mergeCell ref="S212:T212"/>
    <mergeCell ref="W212:Y212"/>
    <mergeCell ref="S213:T213"/>
    <mergeCell ref="W213:Y213"/>
    <mergeCell ref="Z214:AB214"/>
    <mergeCell ref="Z215:AB215"/>
    <mergeCell ref="Q216:R217"/>
    <mergeCell ref="S216:T217"/>
    <mergeCell ref="U216:V217"/>
    <mergeCell ref="W216:Y216"/>
    <mergeCell ref="W217:Y217"/>
    <mergeCell ref="AC210:AE210"/>
    <mergeCell ref="Q204:R205"/>
    <mergeCell ref="S204:T205"/>
    <mergeCell ref="U204:V205"/>
    <mergeCell ref="W204:Y204"/>
    <mergeCell ref="W205:Y205"/>
    <mergeCell ref="Z206:AB206"/>
    <mergeCell ref="BF193:BG193"/>
    <mergeCell ref="AN193:AO193"/>
    <mergeCell ref="Z207:AB207"/>
    <mergeCell ref="S208:T208"/>
    <mergeCell ref="W208:Y208"/>
    <mergeCell ref="S209:T209"/>
    <mergeCell ref="W209:Y209"/>
    <mergeCell ref="T197:T199"/>
    <mergeCell ref="U197:V197"/>
    <mergeCell ref="Z197:Z199"/>
    <mergeCell ref="AA197:AA199"/>
    <mergeCell ref="AB197:AB199"/>
    <mergeCell ref="AC197:AC199"/>
    <mergeCell ref="U198:V198"/>
    <mergeCell ref="U199:V199"/>
    <mergeCell ref="BD193:BE193"/>
    <mergeCell ref="Z191:Z193"/>
    <mergeCell ref="AA191:AA193"/>
    <mergeCell ref="AB191:AB193"/>
    <mergeCell ref="AC191:AC193"/>
    <mergeCell ref="AH191:AM191"/>
    <mergeCell ref="AN191:AS191"/>
    <mergeCell ref="AH193:AI193"/>
    <mergeCell ref="AJ193:AK193"/>
    <mergeCell ref="AL193:AM193"/>
    <mergeCell ref="U196:V196"/>
    <mergeCell ref="AP193:AQ193"/>
    <mergeCell ref="AR193:AS193"/>
    <mergeCell ref="AV193:AW193"/>
    <mergeCell ref="AX193:AY193"/>
    <mergeCell ref="AZ193:BA193"/>
    <mergeCell ref="T185:T187"/>
    <mergeCell ref="U185:V185"/>
    <mergeCell ref="BH193:BI193"/>
    <mergeCell ref="T194:T196"/>
    <mergeCell ref="U194:V194"/>
    <mergeCell ref="Z194:Z196"/>
    <mergeCell ref="AA194:AA196"/>
    <mergeCell ref="AB194:AB196"/>
    <mergeCell ref="AC194:AC196"/>
    <mergeCell ref="U195:V195"/>
    <mergeCell ref="Q190:S190"/>
    <mergeCell ref="U190:V190"/>
    <mergeCell ref="Q191:R193"/>
    <mergeCell ref="S191:S193"/>
    <mergeCell ref="T191:T193"/>
    <mergeCell ref="U191:V191"/>
    <mergeCell ref="U192:V192"/>
    <mergeCell ref="U193:V193"/>
    <mergeCell ref="AV181:AW181"/>
    <mergeCell ref="AX181:AY181"/>
    <mergeCell ref="AZ181:BA181"/>
    <mergeCell ref="BD181:BE181"/>
    <mergeCell ref="AB179:AB181"/>
    <mergeCell ref="AC179:AC181"/>
    <mergeCell ref="BF181:BG181"/>
    <mergeCell ref="BH181:BI181"/>
    <mergeCell ref="T182:T184"/>
    <mergeCell ref="U182:V182"/>
    <mergeCell ref="Z182:Z184"/>
    <mergeCell ref="AA182:AA184"/>
    <mergeCell ref="AB182:AB184"/>
    <mergeCell ref="AC182:AC184"/>
    <mergeCell ref="U183:V183"/>
    <mergeCell ref="U184:V184"/>
    <mergeCell ref="Z185:Z187"/>
    <mergeCell ref="AA185:AA187"/>
    <mergeCell ref="AB185:AB187"/>
    <mergeCell ref="AC185:AC187"/>
    <mergeCell ref="U186:V186"/>
    <mergeCell ref="U187:V187"/>
    <mergeCell ref="Q179:R181"/>
    <mergeCell ref="S179:S181"/>
    <mergeCell ref="T179:T181"/>
    <mergeCell ref="U179:V179"/>
    <mergeCell ref="Z179:Z181"/>
    <mergeCell ref="AA179:AA181"/>
    <mergeCell ref="AH179:AM179"/>
    <mergeCell ref="AN179:AS179"/>
    <mergeCell ref="U180:V180"/>
    <mergeCell ref="U181:V181"/>
    <mergeCell ref="AH181:AI181"/>
    <mergeCell ref="AJ181:AK181"/>
    <mergeCell ref="AL181:AM181"/>
    <mergeCell ref="AN181:AO181"/>
    <mergeCell ref="AP181:AQ181"/>
    <mergeCell ref="AR181:AS181"/>
    <mergeCell ref="U171:V171"/>
    <mergeCell ref="U172:V172"/>
    <mergeCell ref="T173:T175"/>
    <mergeCell ref="U173:V173"/>
    <mergeCell ref="AA173:AA175"/>
    <mergeCell ref="AB173:AB175"/>
    <mergeCell ref="AC173:AC175"/>
    <mergeCell ref="AD173:AD175"/>
    <mergeCell ref="U174:V174"/>
    <mergeCell ref="U175:V175"/>
    <mergeCell ref="Q178:S178"/>
    <mergeCell ref="U178:V178"/>
    <mergeCell ref="AD167:AD169"/>
    <mergeCell ref="AV167:AW167"/>
    <mergeCell ref="U168:V168"/>
    <mergeCell ref="U169:V169"/>
    <mergeCell ref="T170:T172"/>
    <mergeCell ref="U170:V170"/>
    <mergeCell ref="AA170:AA172"/>
    <mergeCell ref="AB170:AB172"/>
    <mergeCell ref="AC170:AC172"/>
    <mergeCell ref="AD170:AD172"/>
    <mergeCell ref="AC164:AC166"/>
    <mergeCell ref="AD164:AD166"/>
    <mergeCell ref="U165:V165"/>
    <mergeCell ref="U166:V166"/>
    <mergeCell ref="AH166:AI166"/>
    <mergeCell ref="AJ166:AK166"/>
    <mergeCell ref="BD166:BE166"/>
    <mergeCell ref="BF166:BG166"/>
    <mergeCell ref="BH166:BI166"/>
    <mergeCell ref="T167:T169"/>
    <mergeCell ref="U167:V167"/>
    <mergeCell ref="AA167:AA169"/>
    <mergeCell ref="AB167:AB169"/>
    <mergeCell ref="AC167:AC169"/>
    <mergeCell ref="AL166:AM166"/>
    <mergeCell ref="AN166:AO166"/>
    <mergeCell ref="U158:V158"/>
    <mergeCell ref="Q161:AE161"/>
    <mergeCell ref="Q163:S163"/>
    <mergeCell ref="U163:V163"/>
    <mergeCell ref="AZ166:BA166"/>
    <mergeCell ref="BB166:BC166"/>
    <mergeCell ref="AP166:AQ166"/>
    <mergeCell ref="AR166:AS166"/>
    <mergeCell ref="AV166:AW166"/>
    <mergeCell ref="AX166:AY166"/>
    <mergeCell ref="Q164:R166"/>
    <mergeCell ref="S164:S166"/>
    <mergeCell ref="T164:T166"/>
    <mergeCell ref="U164:V164"/>
    <mergeCell ref="AA164:AA166"/>
    <mergeCell ref="AB164:AB166"/>
    <mergeCell ref="AV155:AW155"/>
    <mergeCell ref="AX155:AY155"/>
    <mergeCell ref="AZ155:BA155"/>
    <mergeCell ref="Z153:Z155"/>
    <mergeCell ref="AA153:AA155"/>
    <mergeCell ref="AB153:AB155"/>
    <mergeCell ref="AH153:AM153"/>
    <mergeCell ref="AN153:AS153"/>
    <mergeCell ref="BD155:BE155"/>
    <mergeCell ref="BF155:BG155"/>
    <mergeCell ref="BH155:BI155"/>
    <mergeCell ref="T156:T158"/>
    <mergeCell ref="U156:V156"/>
    <mergeCell ref="Y156:Y158"/>
    <mergeCell ref="Z156:Z158"/>
    <mergeCell ref="AA156:AA158"/>
    <mergeCell ref="AB156:AB158"/>
    <mergeCell ref="U157:V157"/>
    <mergeCell ref="S153:S155"/>
    <mergeCell ref="T153:T155"/>
    <mergeCell ref="U153:V153"/>
    <mergeCell ref="Y153:Y155"/>
    <mergeCell ref="AH163:AM163"/>
    <mergeCell ref="AN163:AS163"/>
    <mergeCell ref="AN155:AO155"/>
    <mergeCell ref="AP155:AQ155"/>
    <mergeCell ref="AR155:AS155"/>
    <mergeCell ref="U154:V154"/>
    <mergeCell ref="U155:V155"/>
    <mergeCell ref="AH155:AI155"/>
    <mergeCell ref="AJ155:AK155"/>
    <mergeCell ref="AL155:AM155"/>
    <mergeCell ref="U146:V146"/>
    <mergeCell ref="U147:V147"/>
    <mergeCell ref="Q150:AE150"/>
    <mergeCell ref="Q152:S152"/>
    <mergeCell ref="U152:V152"/>
    <mergeCell ref="Q153:Q155"/>
    <mergeCell ref="AE142:AE144"/>
    <mergeCell ref="U143:V143"/>
    <mergeCell ref="U144:V144"/>
    <mergeCell ref="T145:T147"/>
    <mergeCell ref="U145:V145"/>
    <mergeCell ref="AA145:AA147"/>
    <mergeCell ref="AB145:AB147"/>
    <mergeCell ref="AC145:AC147"/>
    <mergeCell ref="AD145:AD147"/>
    <mergeCell ref="AE145:AE147"/>
    <mergeCell ref="AD139:AD141"/>
    <mergeCell ref="AE139:AE141"/>
    <mergeCell ref="U140:V140"/>
    <mergeCell ref="U141:V141"/>
    <mergeCell ref="T142:T144"/>
    <mergeCell ref="U142:V142"/>
    <mergeCell ref="Z142:Z144"/>
    <mergeCell ref="AB142:AB144"/>
    <mergeCell ref="AC142:AC144"/>
    <mergeCell ref="AD142:AD144"/>
    <mergeCell ref="AD136:AD138"/>
    <mergeCell ref="AE136:AE138"/>
    <mergeCell ref="AV136:AW136"/>
    <mergeCell ref="U137:V137"/>
    <mergeCell ref="U138:V138"/>
    <mergeCell ref="T139:T141"/>
    <mergeCell ref="U139:V139"/>
    <mergeCell ref="Y139:Y141"/>
    <mergeCell ref="AB139:AB141"/>
    <mergeCell ref="AC139:AC141"/>
    <mergeCell ref="AE133:AE135"/>
    <mergeCell ref="U134:V134"/>
    <mergeCell ref="U135:V135"/>
    <mergeCell ref="AH135:AI135"/>
    <mergeCell ref="AJ135:AK135"/>
    <mergeCell ref="AL135:AM135"/>
    <mergeCell ref="BF135:BG135"/>
    <mergeCell ref="BH135:BI135"/>
    <mergeCell ref="BJ135:BK135"/>
    <mergeCell ref="T136:T138"/>
    <mergeCell ref="U136:V136"/>
    <mergeCell ref="X136:X138"/>
    <mergeCell ref="AB136:AB138"/>
    <mergeCell ref="AC136:AC138"/>
    <mergeCell ref="AO135:AP135"/>
    <mergeCell ref="AQ135:AR135"/>
    <mergeCell ref="W133:W135"/>
    <mergeCell ref="AB133:AB135"/>
    <mergeCell ref="AC133:AC135"/>
    <mergeCell ref="AD133:AD135"/>
    <mergeCell ref="BB135:BC135"/>
    <mergeCell ref="BD135:BE135"/>
    <mergeCell ref="AS135:AT135"/>
    <mergeCell ref="AV135:AW135"/>
    <mergeCell ref="AX135:AY135"/>
    <mergeCell ref="AZ135:BA135"/>
    <mergeCell ref="S121:T121"/>
    <mergeCell ref="W121:Y121"/>
    <mergeCell ref="Z110:AB110"/>
    <mergeCell ref="Z111:AB111"/>
    <mergeCell ref="Q130:AE130"/>
    <mergeCell ref="Q132:R134"/>
    <mergeCell ref="S132:S134"/>
    <mergeCell ref="U132:V132"/>
    <mergeCell ref="T133:T135"/>
    <mergeCell ref="U133:V133"/>
    <mergeCell ref="W109:Y109"/>
    <mergeCell ref="S118:V118"/>
    <mergeCell ref="W118:Y118"/>
    <mergeCell ref="Z118:AB118"/>
    <mergeCell ref="S120:T120"/>
    <mergeCell ref="W120:Y120"/>
    <mergeCell ref="Q112:R113"/>
    <mergeCell ref="S112:T113"/>
    <mergeCell ref="U112:V113"/>
    <mergeCell ref="W112:Y112"/>
    <mergeCell ref="W113:Y113"/>
    <mergeCell ref="AC106:AE106"/>
    <mergeCell ref="AC107:AE107"/>
    <mergeCell ref="S108:T108"/>
    <mergeCell ref="W108:Y108"/>
    <mergeCell ref="S109:T109"/>
    <mergeCell ref="Q104:R105"/>
    <mergeCell ref="S104:T105"/>
    <mergeCell ref="U104:V105"/>
    <mergeCell ref="W104:Y104"/>
    <mergeCell ref="W105:Y105"/>
    <mergeCell ref="AC98:AE98"/>
    <mergeCell ref="AC99:AE99"/>
    <mergeCell ref="S100:T100"/>
    <mergeCell ref="W100:Y100"/>
    <mergeCell ref="S101:T101"/>
    <mergeCell ref="S97:T97"/>
    <mergeCell ref="W97:Y97"/>
    <mergeCell ref="AC90:AE90"/>
    <mergeCell ref="AC91:AE91"/>
    <mergeCell ref="Z102:AB102"/>
    <mergeCell ref="Z103:AB103"/>
    <mergeCell ref="W101:Y101"/>
    <mergeCell ref="W89:Y89"/>
    <mergeCell ref="Z94:AB94"/>
    <mergeCell ref="Z95:AB95"/>
    <mergeCell ref="S96:T96"/>
    <mergeCell ref="W96:Y96"/>
    <mergeCell ref="AC96:AE96"/>
    <mergeCell ref="Q92:R93"/>
    <mergeCell ref="S92:T93"/>
    <mergeCell ref="U92:V93"/>
    <mergeCell ref="W92:Y92"/>
    <mergeCell ref="W93:Y93"/>
    <mergeCell ref="Z86:AB86"/>
    <mergeCell ref="Z87:AB87"/>
    <mergeCell ref="S88:T88"/>
    <mergeCell ref="W88:Y88"/>
    <mergeCell ref="S89:T89"/>
    <mergeCell ref="AC78:AC80"/>
    <mergeCell ref="AD78:AD80"/>
    <mergeCell ref="U79:V79"/>
    <mergeCell ref="U80:V80"/>
    <mergeCell ref="Q84:R85"/>
    <mergeCell ref="S84:T85"/>
    <mergeCell ref="U84:V85"/>
    <mergeCell ref="W84:Y84"/>
    <mergeCell ref="W85:Y85"/>
    <mergeCell ref="AD72:AD74"/>
    <mergeCell ref="AV72:AW72"/>
    <mergeCell ref="U73:V73"/>
    <mergeCell ref="U74:V74"/>
    <mergeCell ref="T75:T77"/>
    <mergeCell ref="U75:V75"/>
    <mergeCell ref="AA75:AA77"/>
    <mergeCell ref="AB75:AB77"/>
    <mergeCell ref="AC75:AC77"/>
    <mergeCell ref="AD75:AD77"/>
    <mergeCell ref="U76:V76"/>
    <mergeCell ref="U77:V77"/>
    <mergeCell ref="T78:T80"/>
    <mergeCell ref="U78:V78"/>
    <mergeCell ref="AA78:AA80"/>
    <mergeCell ref="AB78:AB80"/>
    <mergeCell ref="AC69:AC71"/>
    <mergeCell ref="AD69:AD71"/>
    <mergeCell ref="U70:V70"/>
    <mergeCell ref="U71:V71"/>
    <mergeCell ref="AH71:AI71"/>
    <mergeCell ref="AJ71:AK71"/>
    <mergeCell ref="AL71:AM71"/>
    <mergeCell ref="AN71:AO71"/>
    <mergeCell ref="AP71:AQ71"/>
    <mergeCell ref="AR71:AS71"/>
    <mergeCell ref="AV71:AW71"/>
    <mergeCell ref="AX71:AY71"/>
    <mergeCell ref="AZ71:BA71"/>
    <mergeCell ref="BB71:BC71"/>
    <mergeCell ref="BD71:BE71"/>
    <mergeCell ref="BF71:BG71"/>
    <mergeCell ref="BH71:BI71"/>
    <mergeCell ref="T72:T74"/>
    <mergeCell ref="U72:V72"/>
    <mergeCell ref="AA72:AA74"/>
    <mergeCell ref="AB72:AB74"/>
    <mergeCell ref="AC72:AC74"/>
    <mergeCell ref="Q69:R71"/>
    <mergeCell ref="S69:S71"/>
    <mergeCell ref="T69:T71"/>
    <mergeCell ref="U69:V69"/>
    <mergeCell ref="AA69:AA71"/>
    <mergeCell ref="AB69:AB71"/>
    <mergeCell ref="BF59:BG59"/>
    <mergeCell ref="AN59:AO59"/>
    <mergeCell ref="Q68:S68"/>
    <mergeCell ref="U68:V68"/>
    <mergeCell ref="AH68:AM68"/>
    <mergeCell ref="AN68:AS68"/>
    <mergeCell ref="T63:T65"/>
    <mergeCell ref="U63:V63"/>
    <mergeCell ref="Z63:Z65"/>
    <mergeCell ref="AA63:AA65"/>
    <mergeCell ref="AB63:AB65"/>
    <mergeCell ref="AC63:AC65"/>
    <mergeCell ref="U64:V64"/>
    <mergeCell ref="U65:V65"/>
    <mergeCell ref="BD59:BE59"/>
    <mergeCell ref="Z57:Z59"/>
    <mergeCell ref="AA57:AA59"/>
    <mergeCell ref="AB57:AB59"/>
    <mergeCell ref="AC57:AC59"/>
    <mergeCell ref="AH57:AM57"/>
    <mergeCell ref="AN57:AS57"/>
    <mergeCell ref="AH59:AI59"/>
    <mergeCell ref="AJ59:AK59"/>
    <mergeCell ref="AL59:AM59"/>
    <mergeCell ref="U62:V62"/>
    <mergeCell ref="AP59:AQ59"/>
    <mergeCell ref="AR59:AS59"/>
    <mergeCell ref="AV59:AW59"/>
    <mergeCell ref="AX59:AY59"/>
    <mergeCell ref="AZ59:BA59"/>
    <mergeCell ref="T52:T54"/>
    <mergeCell ref="U52:V52"/>
    <mergeCell ref="BH59:BI59"/>
    <mergeCell ref="T60:T62"/>
    <mergeCell ref="U60:V60"/>
    <mergeCell ref="Z60:Z62"/>
    <mergeCell ref="AA60:AA62"/>
    <mergeCell ref="AB60:AB62"/>
    <mergeCell ref="AC60:AC62"/>
    <mergeCell ref="U61:V61"/>
    <mergeCell ref="Z46:Z48"/>
    <mergeCell ref="AA46:AA48"/>
    <mergeCell ref="Q56:S56"/>
    <mergeCell ref="U56:V56"/>
    <mergeCell ref="Q57:R59"/>
    <mergeCell ref="S57:S59"/>
    <mergeCell ref="T57:T59"/>
    <mergeCell ref="U57:V57"/>
    <mergeCell ref="U58:V58"/>
    <mergeCell ref="U59:V59"/>
    <mergeCell ref="AP48:AQ48"/>
    <mergeCell ref="AR48:AS48"/>
    <mergeCell ref="AV48:AW48"/>
    <mergeCell ref="AX48:AY48"/>
    <mergeCell ref="AZ48:BA48"/>
    <mergeCell ref="BD48:BE48"/>
    <mergeCell ref="BF48:BG48"/>
    <mergeCell ref="BH48:BI48"/>
    <mergeCell ref="T49:T51"/>
    <mergeCell ref="U49:V49"/>
    <mergeCell ref="Z49:Z51"/>
    <mergeCell ref="AA49:AA51"/>
    <mergeCell ref="AB49:AB51"/>
    <mergeCell ref="AC49:AC51"/>
    <mergeCell ref="U50:V50"/>
    <mergeCell ref="U51:V51"/>
    <mergeCell ref="Z52:Z54"/>
    <mergeCell ref="AA52:AA54"/>
    <mergeCell ref="AB52:AB54"/>
    <mergeCell ref="AC52:AC54"/>
    <mergeCell ref="U53:V53"/>
    <mergeCell ref="U54:V54"/>
    <mergeCell ref="Q45:S45"/>
    <mergeCell ref="U45:V45"/>
    <mergeCell ref="Q46:R48"/>
    <mergeCell ref="S46:S48"/>
    <mergeCell ref="T46:T48"/>
    <mergeCell ref="U46:V46"/>
    <mergeCell ref="U47:V47"/>
    <mergeCell ref="U48:V48"/>
    <mergeCell ref="BF36:BG36"/>
    <mergeCell ref="AN36:AO36"/>
    <mergeCell ref="AB46:AB48"/>
    <mergeCell ref="AC46:AC48"/>
    <mergeCell ref="AH46:AM46"/>
    <mergeCell ref="AN46:AS46"/>
    <mergeCell ref="AH48:AI48"/>
    <mergeCell ref="AJ48:AK48"/>
    <mergeCell ref="AL48:AM48"/>
    <mergeCell ref="AN48:AO48"/>
    <mergeCell ref="T40:T42"/>
    <mergeCell ref="U40:V40"/>
    <mergeCell ref="Z40:Z42"/>
    <mergeCell ref="AA40:AA42"/>
    <mergeCell ref="AB40:AB42"/>
    <mergeCell ref="AC40:AC42"/>
    <mergeCell ref="U41:V41"/>
    <mergeCell ref="U42:V42"/>
    <mergeCell ref="BD36:BE36"/>
    <mergeCell ref="Z34:Z36"/>
    <mergeCell ref="AA34:AA36"/>
    <mergeCell ref="AB34:AB36"/>
    <mergeCell ref="AC34:AC36"/>
    <mergeCell ref="AH34:AM34"/>
    <mergeCell ref="AN34:AS34"/>
    <mergeCell ref="AH36:AI36"/>
    <mergeCell ref="AJ36:AK36"/>
    <mergeCell ref="AL36:AM36"/>
    <mergeCell ref="U39:V39"/>
    <mergeCell ref="AP36:AQ36"/>
    <mergeCell ref="AR36:AS36"/>
    <mergeCell ref="AV36:AW36"/>
    <mergeCell ref="AX36:AY36"/>
    <mergeCell ref="AZ36:BA36"/>
    <mergeCell ref="T28:T30"/>
    <mergeCell ref="U28:V28"/>
    <mergeCell ref="BH36:BI36"/>
    <mergeCell ref="T37:T39"/>
    <mergeCell ref="U37:V37"/>
    <mergeCell ref="Z37:Z39"/>
    <mergeCell ref="AA37:AA39"/>
    <mergeCell ref="AB37:AB39"/>
    <mergeCell ref="AC37:AC39"/>
    <mergeCell ref="U38:V38"/>
    <mergeCell ref="Q33:S33"/>
    <mergeCell ref="U33:V33"/>
    <mergeCell ref="Q34:R36"/>
    <mergeCell ref="S34:S36"/>
    <mergeCell ref="T34:T36"/>
    <mergeCell ref="U34:V34"/>
    <mergeCell ref="U35:V35"/>
    <mergeCell ref="U36:V36"/>
    <mergeCell ref="AV24:AW24"/>
    <mergeCell ref="AX24:AY24"/>
    <mergeCell ref="AZ24:BA24"/>
    <mergeCell ref="BD24:BE24"/>
    <mergeCell ref="Z22:Z24"/>
    <mergeCell ref="AA22:AA24"/>
    <mergeCell ref="BF24:BG24"/>
    <mergeCell ref="BH24:BI24"/>
    <mergeCell ref="T25:T27"/>
    <mergeCell ref="U25:V25"/>
    <mergeCell ref="Z25:Z27"/>
    <mergeCell ref="AA25:AA27"/>
    <mergeCell ref="AB25:AB27"/>
    <mergeCell ref="AC25:AC27"/>
    <mergeCell ref="U26:V26"/>
    <mergeCell ref="U27:V27"/>
    <mergeCell ref="U18:V18"/>
    <mergeCell ref="Z28:Z30"/>
    <mergeCell ref="AA28:AA30"/>
    <mergeCell ref="AB28:AB30"/>
    <mergeCell ref="AC28:AC30"/>
    <mergeCell ref="U29:V29"/>
    <mergeCell ref="U30:V30"/>
    <mergeCell ref="AB22:AB24"/>
    <mergeCell ref="AC22:AC24"/>
    <mergeCell ref="AH22:AM22"/>
    <mergeCell ref="AN22:AS22"/>
    <mergeCell ref="AH24:AI24"/>
    <mergeCell ref="AJ24:AK24"/>
    <mergeCell ref="AL24:AM24"/>
    <mergeCell ref="AN24:AO24"/>
    <mergeCell ref="AP24:AQ24"/>
    <mergeCell ref="AR24:AS24"/>
    <mergeCell ref="AD13:AD15"/>
    <mergeCell ref="U14:V14"/>
    <mergeCell ref="U15:V15"/>
    <mergeCell ref="T16:T18"/>
    <mergeCell ref="U16:V16"/>
    <mergeCell ref="AA16:AA18"/>
    <mergeCell ref="AB16:AB18"/>
    <mergeCell ref="AC16:AC18"/>
    <mergeCell ref="AD16:AD18"/>
    <mergeCell ref="U17:V17"/>
    <mergeCell ref="U9:V9"/>
    <mergeCell ref="AH9:AI9"/>
    <mergeCell ref="Q21:S21"/>
    <mergeCell ref="U21:V21"/>
    <mergeCell ref="Q22:R24"/>
    <mergeCell ref="S22:S24"/>
    <mergeCell ref="T22:T24"/>
    <mergeCell ref="U22:V22"/>
    <mergeCell ref="U23:V23"/>
    <mergeCell ref="U24:V24"/>
    <mergeCell ref="AR9:AS9"/>
    <mergeCell ref="AV9:AW9"/>
    <mergeCell ref="AX9:AY9"/>
    <mergeCell ref="AZ9:BA9"/>
    <mergeCell ref="BB9:BC9"/>
    <mergeCell ref="BD9:BE9"/>
    <mergeCell ref="BF9:BG9"/>
    <mergeCell ref="BH9:BI9"/>
    <mergeCell ref="T10:T12"/>
    <mergeCell ref="U10:V10"/>
    <mergeCell ref="AA10:AA12"/>
    <mergeCell ref="AB10:AB12"/>
    <mergeCell ref="AC10:AC12"/>
    <mergeCell ref="AD10:AD12"/>
    <mergeCell ref="AV10:AW10"/>
    <mergeCell ref="U11:V11"/>
    <mergeCell ref="AB7:AB9"/>
    <mergeCell ref="AC7:AC9"/>
    <mergeCell ref="AD7:AD9"/>
    <mergeCell ref="U8:V8"/>
    <mergeCell ref="U12:V12"/>
    <mergeCell ref="T13:T15"/>
    <mergeCell ref="U13:V13"/>
    <mergeCell ref="AA13:AA15"/>
    <mergeCell ref="AB13:AB15"/>
    <mergeCell ref="AC13:AC15"/>
    <mergeCell ref="AJ9:AK9"/>
    <mergeCell ref="AL9:AM9"/>
    <mergeCell ref="AN9:AO9"/>
    <mergeCell ref="AP9:AQ9"/>
    <mergeCell ref="AN6:AS6"/>
    <mergeCell ref="Q7:R9"/>
    <mergeCell ref="S7:S9"/>
    <mergeCell ref="T7:T9"/>
    <mergeCell ref="U7:V7"/>
    <mergeCell ref="AA7:AA9"/>
    <mergeCell ref="Q1:AE1"/>
    <mergeCell ref="Q2:AE2"/>
    <mergeCell ref="Q4:AE4"/>
    <mergeCell ref="Q6:S6"/>
    <mergeCell ref="U6:V6"/>
    <mergeCell ref="AH6:AM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M1">
      <selection activeCell="O12" sqref="O12"/>
    </sheetView>
  </sheetViews>
  <sheetFormatPr defaultColWidth="9.140625" defaultRowHeight="15"/>
  <cols>
    <col min="1" max="1" width="8.00390625" style="1" hidden="1" customWidth="1"/>
    <col min="2" max="7" width="8.00390625" style="2" hidden="1" customWidth="1"/>
    <col min="8" max="9" width="16.140625" style="2" hidden="1" customWidth="1"/>
    <col min="10" max="10" width="16.8515625" style="2" hidden="1" customWidth="1"/>
    <col min="11" max="11" width="3.140625" style="142" hidden="1" customWidth="1"/>
    <col min="12" max="12" width="18.140625" style="142" hidden="1" customWidth="1"/>
    <col min="13" max="13" width="3.28125" style="219" customWidth="1"/>
    <col min="14" max="14" width="6.28125" style="1" customWidth="1"/>
    <col min="15" max="15" width="43.57421875" style="1" customWidth="1"/>
    <col min="16" max="16" width="3.28125" style="1" customWidth="1"/>
    <col min="17" max="20" width="22.140625" style="1" customWidth="1"/>
    <col min="21" max="21" width="22.140625" style="121" hidden="1" customWidth="1"/>
    <col min="22" max="16384" width="9.140625" style="2" customWidth="1"/>
  </cols>
  <sheetData>
    <row r="1" spans="13:21" ht="15.75">
      <c r="M1" s="251" t="s">
        <v>73</v>
      </c>
      <c r="N1" s="251"/>
      <c r="O1" s="251"/>
      <c r="P1" s="251"/>
      <c r="Q1" s="251"/>
      <c r="R1" s="251"/>
      <c r="S1" s="251"/>
      <c r="T1" s="251"/>
      <c r="U1" s="251"/>
    </row>
    <row r="2" spans="13:21" ht="15.75">
      <c r="M2" s="251" t="str">
        <f>IF(ISBLANK('[1]dane'!$D$3),"",'[1]dane'!$D$3)</f>
        <v>Mielec,  13.11.2011 r.</v>
      </c>
      <c r="N2" s="251"/>
      <c r="O2" s="251"/>
      <c r="P2" s="251"/>
      <c r="Q2" s="251"/>
      <c r="R2" s="251"/>
      <c r="S2" s="251"/>
      <c r="T2" s="251"/>
      <c r="U2" s="251"/>
    </row>
    <row r="3" spans="12:16" ht="11.25" customHeight="1">
      <c r="L3" s="218" t="s">
        <v>74</v>
      </c>
      <c r="N3" s="10"/>
      <c r="O3" s="10"/>
      <c r="P3" s="19"/>
    </row>
    <row r="4" spans="12:21" ht="11.25" customHeight="1">
      <c r="L4" s="220" t="s">
        <v>75</v>
      </c>
      <c r="M4" s="252" t="str">
        <f>"Gra "&amp;L4</f>
        <v>Gra Gra podwójna</v>
      </c>
      <c r="N4" s="252"/>
      <c r="O4" s="252"/>
      <c r="P4" s="252"/>
      <c r="Q4" s="252"/>
      <c r="R4" s="252"/>
      <c r="S4" s="252"/>
      <c r="T4" s="252"/>
      <c r="U4" s="252"/>
    </row>
    <row r="5" ht="11.25" customHeight="1"/>
    <row r="6" ht="11.25" customHeight="1"/>
    <row r="7" ht="15">
      <c r="L7" s="221"/>
    </row>
    <row r="8" spans="12:20" ht="12.75">
      <c r="L8" s="222">
        <v>8</v>
      </c>
      <c r="O8" s="121"/>
      <c r="P8" s="121"/>
      <c r="Q8" s="121"/>
      <c r="R8" s="121"/>
      <c r="S8" s="121"/>
      <c r="T8" s="121"/>
    </row>
    <row r="9" spans="12:20" ht="15">
      <c r="L9" s="223"/>
      <c r="M9" s="10"/>
      <c r="Q9" s="121"/>
      <c r="R9" s="121"/>
      <c r="S9" s="121"/>
      <c r="T9" s="121"/>
    </row>
    <row r="10" spans="11:20" ht="15">
      <c r="K10" s="142">
        <f>IF(L8&gt;4,1,"")</f>
        <v>1</v>
      </c>
      <c r="L10" s="145" t="s">
        <v>36</v>
      </c>
      <c r="M10" s="219">
        <f>IF(K10="","",1)</f>
        <v>1</v>
      </c>
      <c r="N10" s="224" t="str">
        <f>UPPER(IF(M10="","",IF(ISTEXT(L10),L10,IF(AND(L7&gt;0,M10&gt;0),VLOOKUP(L7&amp;M10&amp;J11,'[1]grup-puch'!I:J,2,FALSE),""))))</f>
        <v>B0009</v>
      </c>
      <c r="O10" s="225" t="str">
        <f>IF(N10&lt;&gt;"",CONCATENATE(VLOOKUP(N10,'[1]zawodnicy'!$A:$E,2,FALSE)," ",VLOOKUP(N10,'[1]zawodnicy'!$A:$E,3,FALSE)," - ",VLOOKUP(N10,'[1]zawodnicy'!$A:$E,4,FALSE)),"")</f>
        <v>Adam BUNIO - Nowa Dęba</v>
      </c>
      <c r="P10" s="226"/>
      <c r="Q10" s="227" t="str">
        <f>IF(F11="","",VLOOKUP(F11,'[1]zawodnicy'!$A:$D,3,FALSE))</f>
        <v>BUNIO</v>
      </c>
      <c r="R10" s="128"/>
      <c r="S10" s="128"/>
      <c r="T10" s="128"/>
    </row>
    <row r="11" spans="1:20" ht="15">
      <c r="A11" s="122">
        <f>P11</f>
        <v>66</v>
      </c>
      <c r="B11" s="2" t="str">
        <f>IF(N10="","",N10)</f>
        <v>B0009</v>
      </c>
      <c r="C11" s="2" t="str">
        <f>IF(N11="","",N11)</f>
        <v>R0003</v>
      </c>
      <c r="D11" s="2" t="str">
        <f>IF(N12="","",N12)</f>
        <v>D0007</v>
      </c>
      <c r="E11" s="2" t="str">
        <f>IF(N13="","",N13)</f>
        <v>K0031</v>
      </c>
      <c r="F11" s="2" t="str">
        <f>IF(A11=0,IF(AND(LEN(B11)&gt;0,LEN(D11)=0),VLOOKUP(B11,'[1]zawodnicy'!$A:$E,1,FALSE),IF(AND(LEN(D11)&gt;0,LEN(B11)=0),VLOOKUP(D11,'[1]zawodnicy'!$A:$E,1,FALSE),"")),IF((VLOOKUP(A11,'[1]plan gier'!$X:$AF,7,FALSE))="","",VLOOKUP(VLOOKUP(A11,'[1]plan gier'!$X:$AF,7,FALSE),'[1]zawodnicy'!$A:$E,1,FALSE)))</f>
        <v>B0009</v>
      </c>
      <c r="G11" s="2" t="str">
        <f>IF(A11=0,IF(AND(LEN(C11)&gt;1,LEN(E11)=0),VLOOKUP(C11,'[1]zawodnicy'!$A:$E,1,FALSE),IF(AND(LEN(E11)&gt;1,LEN(C11)=0),VLOOKUP(E11,'[1]zawodnicy'!$A:$E,1,FALSE),"")),IF((VLOOKUP(A11,'[1]plan gier'!$X:$AF,8,FALSE))="","",VLOOKUP(VLOOKUP(A11,'[1]plan gier'!$X:$AF,8,FALSE),'[1]zawodnicy'!$A:$E,1,FALSE)))</f>
        <v>R0003</v>
      </c>
      <c r="H11" s="2" t="str">
        <f>IF(A11=0,"",IF((VLOOKUP(A11,'[1]plan gier'!$X:$AF,7,FALSE))="","",VLOOKUP(A11,'[1]plan gier'!$X:$AF,9,FALSE)))</f>
        <v>21:8,21:8</v>
      </c>
      <c r="I11" s="2" t="str">
        <f>IF(A11=0,"",IF(VLOOKUP(A11,'[1]plan gier'!A:S,19,FALSE)="","",VLOOKUP(A11,'[1]plan gier'!A:S,19,FALSE)))</f>
        <v>godz.14:20</v>
      </c>
      <c r="J11" s="2">
        <f>L9</f>
        <v>0</v>
      </c>
      <c r="L11" s="145" t="s">
        <v>11</v>
      </c>
      <c r="N11" s="228" t="str">
        <f>UPPER(IF(M10="","",IF(ISTEXT(L11),L11,IF(AND(L7&gt;0,M10&gt;0),VLOOKUP(L7&amp;M10&amp;J11,'[1]grup-puch'!I:K,3,FALSE),""))))</f>
        <v>R0003</v>
      </c>
      <c r="O11" s="229" t="str">
        <f>IF(N11&lt;&gt;"",CONCATENATE(VLOOKUP(N11,'[1]zawodnicy'!$A:$E,2,FALSE)," ",VLOOKUP(N11,'[1]zawodnicy'!$A:$E,3,FALSE)," - ",VLOOKUP(N11,'[1]zawodnicy'!$A:$E,4,FALSE)),"")</f>
        <v>Dawid RZĄSA - Nowa Dęba</v>
      </c>
      <c r="P11" s="230">
        <v>66</v>
      </c>
      <c r="Q11" s="231" t="str">
        <f>IF(G11="","",VLOOKUP(G11,'[1]zawodnicy'!$A:$D,3,FALSE))</f>
        <v>RZĄSA</v>
      </c>
      <c r="R11" s="128"/>
      <c r="S11" s="128"/>
      <c r="T11" s="128"/>
    </row>
    <row r="12" spans="11:20" ht="15">
      <c r="K12" s="142">
        <f>IF(L8&gt;7,5,"")</f>
        <v>5</v>
      </c>
      <c r="L12" s="145" t="s">
        <v>68</v>
      </c>
      <c r="M12" s="219">
        <f>IF(K12="","",2)</f>
        <v>2</v>
      </c>
      <c r="N12" s="224" t="str">
        <f>UPPER(IF(M12="","",IF(ISTEXT(L12),L12,IF(AND(L7&gt;0,M12&gt;0),VLOOKUP(L7&amp;M12&amp;J11,'[1]grup-puch'!I:J,2,FALSE),""))))</f>
        <v>D0007</v>
      </c>
      <c r="O12" s="225" t="str">
        <f>IF(N12&lt;&gt;"",CONCATENATE(VLOOKUP(N12,'[1]zawodnicy'!$A:$E,2,FALSE)," ",VLOOKUP(N12,'[1]zawodnicy'!$A:$E,3,FALSE)," - ",VLOOKUP(N12,'[1]zawodnicy'!$A:$E,4,FALSE)),"")</f>
        <v>Karolina DZIEKAN - Mielec</v>
      </c>
      <c r="P12" s="232"/>
      <c r="Q12" s="233" t="str">
        <f>IF(H11="",I11,H11)</f>
        <v>21:8,21:8</v>
      </c>
      <c r="R12" s="227" t="str">
        <f>IF(F13="","",VLOOKUP(F13,'[1]zawodnicy'!$A:$D,3,FALSE))</f>
        <v>BUNIO</v>
      </c>
      <c r="S12" s="128"/>
      <c r="T12" s="128"/>
    </row>
    <row r="13" spans="1:20" ht="15.75" thickBot="1">
      <c r="A13" s="126">
        <f>Q13</f>
        <v>70</v>
      </c>
      <c r="B13" s="2" t="str">
        <f>F11</f>
        <v>B0009</v>
      </c>
      <c r="C13" s="2" t="str">
        <f>G11</f>
        <v>R0003</v>
      </c>
      <c r="D13" s="2" t="str">
        <f>F15</f>
        <v>K0034</v>
      </c>
      <c r="E13" s="2" t="str">
        <f>G15</f>
        <v>W0010</v>
      </c>
      <c r="F13" s="2" t="str">
        <f>IF(A13=0,IF(AND(LEN(B13)&gt;0,LEN(D13)=0),B13,IF(AND(LEN(D13)&gt;0,LEN(B13)=0),D13,"")),IF((VLOOKUP(A13,'[1]plan gier'!$X:$AF,7,FALSE))="","",VLOOKUP(VLOOKUP(A13,'[1]plan gier'!$X:$AF,7,FALSE),'[1]zawodnicy'!$A:$E,1,FALSE)))</f>
        <v>B0009</v>
      </c>
      <c r="G13" s="2" t="str">
        <f>IF(A13=0,IF(AND(LEN(C13)&gt;0,LEN(E13)=0),C13,IF(AND(LEN(E13)&gt;0,LEN(C13)=0),E13,"")),IF((VLOOKUP(A13,'[1]plan gier'!$X:$AF,8,FALSE))="","",VLOOKUP(VLOOKUP(A13,'[1]plan gier'!$X:$AF,8,FALSE),'[1]zawodnicy'!$A:$E,1,FALSE)))</f>
        <v>R0003</v>
      </c>
      <c r="H13" s="2" t="str">
        <f>IF(A13=0,"",IF((VLOOKUP(A13,'[1]plan gier'!$X:$AF,7,FALSE))="","",VLOOKUP(A13,'[1]plan gier'!$X:$AF,9,FALSE)))</f>
        <v>21:9,21:14</v>
      </c>
      <c r="I13" s="2" t="str">
        <f>IF(A13=0,"",IF(VLOOKUP(A13,'[1]plan gier'!A:S,19,FALSE)="","",VLOOKUP(A13,'[1]plan gier'!A:S,19,FALSE)))</f>
        <v>godz.14:40</v>
      </c>
      <c r="J13" s="2">
        <f>L9</f>
        <v>0</v>
      </c>
      <c r="L13" s="234" t="s">
        <v>69</v>
      </c>
      <c r="N13" s="235" t="str">
        <f>UPPER(IF(M12="","",IF(ISTEXT(L13),L13,IF(AND(L7&gt;0,M12&gt;0),VLOOKUP(L7&amp;M12&amp;J11,'[1]grup-puch'!I:K,3,FALSE),""))))</f>
        <v>K0031</v>
      </c>
      <c r="O13" s="236" t="str">
        <f>IF(N13&lt;&gt;"",CONCATENATE(VLOOKUP(N13,'[1]zawodnicy'!$A:$E,2,FALSE)," ",VLOOKUP(N13,'[1]zawodnicy'!$A:$E,3,FALSE)," - ",VLOOKUP(N13,'[1]zawodnicy'!$A:$E,4,FALSE)),"")</f>
        <v>Wiktoria KAPINOS - Mielec</v>
      </c>
      <c r="P13" s="237"/>
      <c r="Q13" s="129">
        <v>70</v>
      </c>
      <c r="R13" s="231" t="str">
        <f>IF(G13="","",VLOOKUP(G13,'[1]zawodnicy'!$A:$D,3,FALSE))</f>
        <v>RZĄSA</v>
      </c>
      <c r="S13" s="128"/>
      <c r="T13" s="128"/>
    </row>
    <row r="14" spans="11:20" ht="15.75" thickTop="1">
      <c r="K14" s="142">
        <f>IF(L8&gt;4,9,"")</f>
        <v>9</v>
      </c>
      <c r="L14" s="238" t="s">
        <v>29</v>
      </c>
      <c r="M14" s="219">
        <f>IF(K14="","",MAX(M10:M13)+1)</f>
        <v>3</v>
      </c>
      <c r="N14" s="239" t="str">
        <f>UPPER(IF(M14="","",IF(ISTEXT(L14),L14,IF(AND(L7&gt;0,M14&gt;0),VLOOKUP(L7&amp;M14&amp;J15,'[1]grup-puch'!I:J,2,FALSE),""))))</f>
        <v>K0034</v>
      </c>
      <c r="O14" s="8" t="str">
        <f>IF(N14&lt;&gt;"",CONCATENATE(VLOOKUP(N14,'[1]zawodnicy'!$A:$E,2,FALSE)," ",VLOOKUP(N14,'[1]zawodnicy'!$A:$E,3,FALSE)," - ",VLOOKUP(N14,'[1]zawodnicy'!$A:$E,4,FALSE)),"")</f>
        <v>Marcin KOWALIK - Rzeszów</v>
      </c>
      <c r="P14" s="232"/>
      <c r="Q14" s="240" t="str">
        <f>IF(F15="","",VLOOKUP(F15,'[1]zawodnicy'!$A:$D,3,FALSE))</f>
        <v>KOWALIK</v>
      </c>
      <c r="R14" s="130" t="str">
        <f>IF(H13="",I13,H13)</f>
        <v>21:9,21:14</v>
      </c>
      <c r="S14" s="128"/>
      <c r="T14" s="128"/>
    </row>
    <row r="15" spans="1:20" ht="15">
      <c r="A15" s="122">
        <f>P15</f>
        <v>67</v>
      </c>
      <c r="B15" s="2" t="str">
        <f>IF(N14="","",N14)</f>
        <v>K0034</v>
      </c>
      <c r="C15" s="2" t="str">
        <f>IF(N15="","",N15)</f>
        <v>W0010</v>
      </c>
      <c r="D15" s="2" t="str">
        <f>IF(N16="","",N16)</f>
        <v>G0011</v>
      </c>
      <c r="E15" s="2" t="str">
        <f>IF(N17="","",N17)</f>
        <v>M0012</v>
      </c>
      <c r="F15" s="2" t="str">
        <f>IF(A15=0,IF(AND(LEN(B15)&gt;0,LEN(D15)=0),VLOOKUP(B15,'[1]zawodnicy'!$A:$E,1,FALSE),IF(AND(LEN(D15)&gt;0,LEN(B15)=0),VLOOKUP(D15,'[1]zawodnicy'!$A:$E,1,FALSE),"")),IF((VLOOKUP(A15,'[1]plan gier'!$X:$AF,7,FALSE))="","",VLOOKUP(VLOOKUP(A15,'[1]plan gier'!$X:$AF,7,FALSE),'[1]zawodnicy'!$A:$E,1,FALSE)))</f>
        <v>K0034</v>
      </c>
      <c r="G15" s="2" t="str">
        <f>IF(A15=0,IF(AND(LEN(C15)&gt;1,LEN(E15)=0),VLOOKUP(C15,'[1]zawodnicy'!$A:$E,1,FALSE),IF(AND(LEN(E15)&gt;1,LEN(C15)=0),VLOOKUP(E15,'[1]zawodnicy'!$A:$E,1,FALSE),"")),IF((VLOOKUP(A15,'[1]plan gier'!$X:$AF,8,FALSE))="","",VLOOKUP(VLOOKUP(A15,'[1]plan gier'!$X:$AF,8,FALSE),'[1]zawodnicy'!$A:$E,1,FALSE)))</f>
        <v>W0010</v>
      </c>
      <c r="H15" s="2" t="str">
        <f>IF(A15=0,"",IF((VLOOKUP(A15,'[1]plan gier'!$X:$AF,7,FALSE))="","",VLOOKUP(A15,'[1]plan gier'!$X:$AF,9,FALSE)))</f>
        <v>21:16,18:21,21:19</v>
      </c>
      <c r="I15" s="2" t="str">
        <f>IF(A15=0,"",IF(VLOOKUP(A15,'[1]plan gier'!A:S,19,FALSE)="","",VLOOKUP(A15,'[1]plan gier'!A:S,19,FALSE)))</f>
        <v>godz.14:20</v>
      </c>
      <c r="J15" s="2">
        <f>L9</f>
        <v>0</v>
      </c>
      <c r="L15" s="145" t="s">
        <v>35</v>
      </c>
      <c r="N15" s="228" t="str">
        <f>UPPER(IF(M14="","",IF(ISTEXT(L15),L15,IF(AND(L7&gt;0,M14&gt;0),VLOOKUP(L7&amp;M14&amp;J15,'[1]grup-puch'!I:K,3,FALSE),""))))</f>
        <v>W0010</v>
      </c>
      <c r="O15" s="229" t="str">
        <f>IF(N15&lt;&gt;"",CONCATENATE(VLOOKUP(N15,'[1]zawodnicy'!$A:$E,2,FALSE)," ",VLOOKUP(N15,'[1]zawodnicy'!$A:$E,3,FALSE)," - ",VLOOKUP(N15,'[1]zawodnicy'!$A:$E,4,FALSE)),"")</f>
        <v>Dariusz WALAS - Rzeszów</v>
      </c>
      <c r="P15" s="230">
        <v>67</v>
      </c>
      <c r="Q15" s="241" t="str">
        <f>IF(G15="","",VLOOKUP(G15,'[1]zawodnicy'!$A:$D,3,FALSE))</f>
        <v>WALAS</v>
      </c>
      <c r="R15" s="130"/>
      <c r="S15" s="128"/>
      <c r="T15" s="128"/>
    </row>
    <row r="16" spans="11:20" ht="15">
      <c r="K16" s="142">
        <f>IF(L8&gt;5,13,"")</f>
        <v>13</v>
      </c>
      <c r="L16" s="145" t="s">
        <v>32</v>
      </c>
      <c r="M16" s="219">
        <f>IF(K16="","",MAX(M10:M15)+1)</f>
        <v>4</v>
      </c>
      <c r="N16" s="224" t="str">
        <f>UPPER(IF(M16="","",IF(ISTEXT(L16),L16,IF(AND(L7&gt;0,M16&gt;0),VLOOKUP(L7&amp;M16&amp;J15,'[1]grup-puch'!I:J,2,FALSE),""))))</f>
        <v>G0011</v>
      </c>
      <c r="O16" s="225" t="str">
        <f>IF(N16&lt;&gt;"",CONCATENATE(VLOOKUP(N16,'[1]zawodnicy'!$A:$E,2,FALSE)," ",VLOOKUP(N16,'[1]zawodnicy'!$A:$E,3,FALSE)," - ",VLOOKUP(N16,'[1]zawodnicy'!$A:$E,4,FALSE)),"")</f>
        <v>Jakub GERCZAK - Rzeszów</v>
      </c>
      <c r="P16" s="232"/>
      <c r="Q16" s="242" t="str">
        <f>IF(H15="",I15,H15)</f>
        <v>21:16,18:21,21:19</v>
      </c>
      <c r="R16" s="130"/>
      <c r="S16" s="227" t="str">
        <f>IF(F17="","",VLOOKUP(F17,'[1]zawodnicy'!$A:$D,3,FALSE))</f>
        <v>MAC </v>
      </c>
      <c r="T16" s="128"/>
    </row>
    <row r="17" spans="1:20" ht="15.75" thickBot="1">
      <c r="A17" s="243">
        <f>R17</f>
        <v>73</v>
      </c>
      <c r="B17" s="2" t="str">
        <f>F13</f>
        <v>B0009</v>
      </c>
      <c r="C17" s="2" t="str">
        <f>G13</f>
        <v>R0003</v>
      </c>
      <c r="D17" s="2" t="str">
        <f>F21</f>
        <v>M0019</v>
      </c>
      <c r="E17" s="2" t="str">
        <f>G21</f>
        <v>P0003</v>
      </c>
      <c r="F17" s="2" t="str">
        <f>IF(A17=0,IF(AND(LEN(B17)&gt;0,LEN(D17)=0),B17,IF(AND(LEN(D17)&gt;0,LEN(B17)=0),D17,"")),IF((VLOOKUP(A17,'[1]plan gier'!$X:$AF,7,FALSE))="","",VLOOKUP(VLOOKUP(A17,'[1]plan gier'!$X:$AF,7,FALSE),'[1]zawodnicy'!$A:$E,1,FALSE)))</f>
        <v>M0019</v>
      </c>
      <c r="G17" s="2" t="str">
        <f>IF(A17=0,IF(AND(LEN(C17)&gt;0,LEN(E17)=0),C17,IF(AND(LEN(E17)&gt;0,LEN(C17)=0),E17,"")),IF((VLOOKUP(A17,'[1]plan gier'!$X:$AF,8,FALSE))="","",VLOOKUP(VLOOKUP(A17,'[1]plan gier'!$X:$AF,8,FALSE),'[1]zawodnicy'!$A:$E,1,FALSE)))</f>
        <v>P0003</v>
      </c>
      <c r="H17" s="2" t="str">
        <f>IF(A17=0,"",IF((VLOOKUP(A17,'[1]plan gier'!$X:$AF,7,FALSE))="","",VLOOKUP(A17,'[1]plan gier'!$X:$AF,9,FALSE)))</f>
        <v>21:9,21:12</v>
      </c>
      <c r="I17" s="2" t="str">
        <f>IF(A17=0,"",IF(VLOOKUP(A17,'[1]plan gier'!A:S,19,FALSE)="","",VLOOKUP(A17,'[1]plan gier'!A:S,19,FALSE)))</f>
        <v>godz.15:00</v>
      </c>
      <c r="J17" s="2">
        <f>L9</f>
        <v>0</v>
      </c>
      <c r="L17" s="234" t="s">
        <v>34</v>
      </c>
      <c r="N17" s="235" t="str">
        <f>UPPER(IF(M16="","",IF(ISTEXT(L17),L17,IF(AND(L7&gt;0,M16&gt;0),VLOOKUP(L7&amp;M16&amp;J15,'[1]grup-puch'!I:K,3,FALSE),""))))</f>
        <v>M0012</v>
      </c>
      <c r="O17" s="236" t="str">
        <f>IF(N17&lt;&gt;"",CONCATENATE(VLOOKUP(N17,'[1]zawodnicy'!$A:$E,2,FALSE)," ",VLOOKUP(N17,'[1]zawodnicy'!$A:$E,3,FALSE)," - ",VLOOKUP(N17,'[1]zawodnicy'!$A:$E,4,FALSE)),"")</f>
        <v>Jarosław MAZUR - Mielec</v>
      </c>
      <c r="P17" s="237"/>
      <c r="Q17" s="227"/>
      <c r="R17" s="129">
        <v>73</v>
      </c>
      <c r="S17" s="231" t="str">
        <f>IF(G17="","",VLOOKUP(G17,'[1]zawodnicy'!$A:$D,3,FALSE))</f>
        <v>PIENIĄŻEK</v>
      </c>
      <c r="T17" s="128"/>
    </row>
    <row r="18" spans="11:20" ht="15.75" thickTop="1">
      <c r="K18" s="142">
        <f>IF(L8&gt;4,20,"")</f>
        <v>20</v>
      </c>
      <c r="L18" s="238" t="s">
        <v>37</v>
      </c>
      <c r="M18" s="219">
        <f>IF(K18="","",MAX(M10:M17)+1)</f>
        <v>5</v>
      </c>
      <c r="N18" s="239" t="str">
        <f>UPPER(IF(M18="","",IF(ISTEXT(L18),L18,IF(AND(L7&gt;0,M18&gt;0),VLOOKUP(L7&amp;M18&amp;J19,'[1]grup-puch'!I:J,2,FALSE),""))))</f>
        <v>P0019</v>
      </c>
      <c r="O18" s="8" t="str">
        <f>IF(N18&lt;&gt;"",CONCATENATE(VLOOKUP(N18,'[1]zawodnicy'!$A:$E,2,FALSE)," ",VLOOKUP(N18,'[1]zawodnicy'!$A:$E,3,FALSE)," - ",VLOOKUP(N18,'[1]zawodnicy'!$A:$E,4,FALSE)),"")</f>
        <v>Patryk PIETRAS - Mielec</v>
      </c>
      <c r="P18" s="232"/>
      <c r="Q18" s="227" t="str">
        <f>IF(F19="","",VLOOKUP(F19,'[1]zawodnicy'!$A:$D,3,FALSE))</f>
        <v>KOPEĆ</v>
      </c>
      <c r="R18" s="130"/>
      <c r="S18" s="227" t="str">
        <f>IF(H17="",I17,H17)</f>
        <v>21:9,21:12</v>
      </c>
      <c r="T18" s="128"/>
    </row>
    <row r="19" spans="1:20" ht="15">
      <c r="A19" s="122">
        <f>P19</f>
        <v>68</v>
      </c>
      <c r="B19" s="2" t="str">
        <f>IF(N18="","",N18)</f>
        <v>P0019</v>
      </c>
      <c r="C19" s="2" t="str">
        <f>IF(N19="","",N19)</f>
        <v>W0009</v>
      </c>
      <c r="D19" s="2" t="str">
        <f>IF(N20="","",N20)</f>
        <v>K0029</v>
      </c>
      <c r="E19" s="2" t="str">
        <f>IF(N21="","",N21)</f>
        <v>R0008</v>
      </c>
      <c r="F19" s="2" t="str">
        <f>IF(A19=0,IF(AND(LEN(B19)&gt;0,LEN(D19)=0),VLOOKUP(B19,'[1]zawodnicy'!$A:$E,1,FALSE),IF(AND(LEN(D19)&gt;0,LEN(B19)=0),VLOOKUP(D19,'[1]zawodnicy'!$A:$E,1,FALSE),"")),IF((VLOOKUP(A19,'[1]plan gier'!$X:$AF,7,FALSE))="","",VLOOKUP(VLOOKUP(A19,'[1]plan gier'!$X:$AF,7,FALSE),'[1]zawodnicy'!$A:$E,1,FALSE)))</f>
        <v>K0029</v>
      </c>
      <c r="G19" s="2" t="str">
        <f>IF(A19=0,IF(AND(LEN(C19)&gt;1,LEN(E19)=0),VLOOKUP(C19,'[1]zawodnicy'!$A:$E,1,FALSE),IF(AND(LEN(E19)&gt;1,LEN(C19)=0),VLOOKUP(E19,'[1]zawodnicy'!$A:$E,1,FALSE),"")),IF((VLOOKUP(A19,'[1]plan gier'!$X:$AF,8,FALSE))="","",VLOOKUP(VLOOKUP(A19,'[1]plan gier'!$X:$AF,8,FALSE),'[1]zawodnicy'!$A:$E,1,FALSE)))</f>
        <v>R0008</v>
      </c>
      <c r="H19" s="2" t="str">
        <f>IF(A19=0,"",IF((VLOOKUP(A19,'[1]plan gier'!$X:$AF,7,FALSE))="","",VLOOKUP(A19,'[1]plan gier'!$X:$AF,9,FALSE)))</f>
        <v>21:9,21:9</v>
      </c>
      <c r="I19" s="2" t="str">
        <f>IF(A19=0,"",IF(VLOOKUP(A19,'[1]plan gier'!A:S,19,FALSE)="","",VLOOKUP(A19,'[1]plan gier'!A:S,19,FALSE)))</f>
        <v>godz.14:20</v>
      </c>
      <c r="J19" s="2">
        <f>L9</f>
        <v>0</v>
      </c>
      <c r="L19" s="145" t="s">
        <v>16</v>
      </c>
      <c r="N19" s="228" t="str">
        <f>UPPER(IF(M18="","",IF(ISTEXT(L19),L19,IF(AND(L7&gt;0,M18&gt;0),VLOOKUP(L7&amp;M18&amp;J19,'[1]grup-puch'!I:K,3,FALSE),""))))</f>
        <v>W0009</v>
      </c>
      <c r="O19" s="229" t="str">
        <f>IF(N19&lt;&gt;"",CONCATENATE(VLOOKUP(N19,'[1]zawodnicy'!$A:$E,2,FALSE)," ",VLOOKUP(N19,'[1]zawodnicy'!$A:$E,3,FALSE)," - ",VLOOKUP(N19,'[1]zawodnicy'!$A:$E,4,FALSE)),"")</f>
        <v>Karol WESOŁOWSKI - Mielec</v>
      </c>
      <c r="P19" s="230">
        <v>68</v>
      </c>
      <c r="Q19" s="231" t="str">
        <f>IF(G19="","",VLOOKUP(G19,'[1]zawodnicy'!$A:$D,3,FALSE))</f>
        <v>RZESZUTEK</v>
      </c>
      <c r="R19" s="130"/>
      <c r="S19" s="128"/>
      <c r="T19" s="128"/>
    </row>
    <row r="20" spans="11:20" ht="15">
      <c r="K20" s="142">
        <f>IF(L8&gt;4,24,"")</f>
        <v>24</v>
      </c>
      <c r="L20" s="145" t="s">
        <v>24</v>
      </c>
      <c r="M20" s="219">
        <f>IF(K20="","",MAX(M10:M19)+1)</f>
        <v>6</v>
      </c>
      <c r="N20" s="224" t="str">
        <f>UPPER(IF(M20="","",IF(ISTEXT(L20),L20,IF(AND(L7&gt;0,M20&gt;0),VLOOKUP(L7&amp;M20&amp;J19,'[1]grup-puch'!I:J,2,FALSE),""))))</f>
        <v>K0029</v>
      </c>
      <c r="O20" s="225" t="str">
        <f>IF(N20&lt;&gt;"",CONCATENATE(VLOOKUP(N20,'[1]zawodnicy'!$A:$E,2,FALSE)," ",VLOOKUP(N20,'[1]zawodnicy'!$A:$E,3,FALSE)," - ",VLOOKUP(N20,'[1]zawodnicy'!$A:$E,4,FALSE)),"")</f>
        <v>Patryk KOPEĆ - Nowa Dęba</v>
      </c>
      <c r="P20" s="232"/>
      <c r="Q20" s="233" t="str">
        <f>IF(H19="",I19,H19)</f>
        <v>21:9,21:9</v>
      </c>
      <c r="R20" s="240" t="str">
        <f>IF(F21="","",VLOOKUP(F21,'[1]zawodnicy'!$A:$D,3,FALSE))</f>
        <v>MAC </v>
      </c>
      <c r="S20" s="128"/>
      <c r="T20" s="128"/>
    </row>
    <row r="21" spans="1:20" ht="15.75" thickBot="1">
      <c r="A21" s="126">
        <f>Q21</f>
        <v>71</v>
      </c>
      <c r="B21" s="2" t="str">
        <f>F19</f>
        <v>K0029</v>
      </c>
      <c r="C21" s="2" t="str">
        <f>G19</f>
        <v>R0008</v>
      </c>
      <c r="D21" s="2" t="str">
        <f>F23</f>
        <v>M0019</v>
      </c>
      <c r="E21" s="2" t="str">
        <f>G23</f>
        <v>P0003</v>
      </c>
      <c r="F21" s="2" t="str">
        <f>IF(A21=0,IF(AND(LEN(B21)&gt;0,LEN(D21)=0),B21,IF(AND(LEN(D21)&gt;0,LEN(B21)=0),D21,"")),IF((VLOOKUP(A21,'[1]plan gier'!$X:$AF,7,FALSE))="","",VLOOKUP(VLOOKUP(A21,'[1]plan gier'!$X:$AF,7,FALSE),'[1]zawodnicy'!$A:$E,1,FALSE)))</f>
        <v>M0019</v>
      </c>
      <c r="G21" s="2" t="str">
        <f>IF(A21=0,IF(AND(LEN(C21)&gt;0,LEN(E21)=0),C21,IF(AND(LEN(E21)&gt;0,LEN(C21)=0),E21,"")),IF((VLOOKUP(A21,'[1]plan gier'!$X:$AF,8,FALSE))="","",VLOOKUP(VLOOKUP(A21,'[1]plan gier'!$X:$AF,8,FALSE),'[1]zawodnicy'!$A:$E,1,FALSE)))</f>
        <v>P0003</v>
      </c>
      <c r="H21" s="2" t="str">
        <f>IF(A21=0,"",IF((VLOOKUP(A21,'[1]plan gier'!$X:$AF,7,FALSE))="","",VLOOKUP(A21,'[1]plan gier'!$X:$AF,9,FALSE)))</f>
        <v>15:21,21:16,21:12</v>
      </c>
      <c r="I21" s="2" t="str">
        <f>IF(A21=0,"",IF(VLOOKUP(A21,'[1]plan gier'!A:S,19,FALSE)="","",VLOOKUP(A21,'[1]plan gier'!A:S,19,FALSE)))</f>
        <v>godz.14:40</v>
      </c>
      <c r="J21" s="2">
        <f>L9</f>
        <v>0</v>
      </c>
      <c r="L21" s="234" t="s">
        <v>30</v>
      </c>
      <c r="N21" s="235" t="str">
        <f>UPPER(IF(M20="","",IF(ISTEXT(L21),L21,IF(AND(L7&gt;0,M20&gt;0),VLOOKUP(L7&amp;M20&amp;J19,'[1]grup-puch'!I:K,3,FALSE),""))))</f>
        <v>R0008</v>
      </c>
      <c r="O21" s="236" t="str">
        <f>IF(N21&lt;&gt;"",CONCATENATE(VLOOKUP(N21,'[1]zawodnicy'!$A:$E,2,FALSE)," ",VLOOKUP(N21,'[1]zawodnicy'!$A:$E,3,FALSE)," - ",VLOOKUP(N21,'[1]zawodnicy'!$A:$E,4,FALSE)),"")</f>
        <v>Dawid RZESZUTEK - Mielec</v>
      </c>
      <c r="P21" s="237"/>
      <c r="Q21" s="129">
        <v>71</v>
      </c>
      <c r="R21" s="241" t="str">
        <f>IF(G21="","",VLOOKUP(G21,'[1]zawodnicy'!$A:$D,3,FALSE))</f>
        <v>PIENIĄŻEK</v>
      </c>
      <c r="S21" s="128"/>
      <c r="T21" s="128"/>
    </row>
    <row r="22" spans="11:20" ht="15.75" thickTop="1">
      <c r="K22" s="142">
        <f>IF(L8&gt;6,28,"")</f>
        <v>28</v>
      </c>
      <c r="L22" s="238" t="s">
        <v>31</v>
      </c>
      <c r="M22" s="219">
        <f>IF(K22="","",MAX(M10:M21)+1)</f>
        <v>7</v>
      </c>
      <c r="N22" s="239" t="str">
        <f>UPPER(IF(M22="","",IF(ISTEXT(L22),L22,IF(AND(L7&gt;0,M22&gt;0),VLOOKUP(L7&amp;M22&amp;J23,'[1]grup-puch'!I:J,2,FALSE),""))))</f>
        <v>K0033</v>
      </c>
      <c r="O22" s="8" t="str">
        <f>IF(N22&lt;&gt;"",CONCATENATE(VLOOKUP(N22,'[1]zawodnicy'!$A:$E,2,FALSE)," ",VLOOKUP(N22,'[1]zawodnicy'!$A:$E,3,FALSE)," - ",VLOOKUP(N22,'[1]zawodnicy'!$A:$E,4,FALSE)),"")</f>
        <v>Marek KAMIŃSKI - Nowa Dęba</v>
      </c>
      <c r="P22" s="232"/>
      <c r="Q22" s="240" t="str">
        <f>IF(F23="","",VLOOKUP(F23,'[1]zawodnicy'!$A:$D,3,FALSE))</f>
        <v>MAC </v>
      </c>
      <c r="R22" s="227" t="str">
        <f>IF(H21="",I21,H21)</f>
        <v>15:21,21:16,21:12</v>
      </c>
      <c r="S22" s="128"/>
      <c r="T22" s="128"/>
    </row>
    <row r="23" spans="1:20" ht="15">
      <c r="A23" s="122">
        <f>P23</f>
        <v>69</v>
      </c>
      <c r="B23" s="2" t="str">
        <f>IF(N22="","",N22)</f>
        <v>K0033</v>
      </c>
      <c r="C23" s="2" t="str">
        <f>IF(N23="","",N23)</f>
        <v>Ś0002</v>
      </c>
      <c r="D23" s="2" t="str">
        <f>IF(N24="","",N24)</f>
        <v>M0019</v>
      </c>
      <c r="E23" s="2" t="str">
        <f>IF(N25="","",N25)</f>
        <v>P0003</v>
      </c>
      <c r="F23" s="2" t="str">
        <f>IF(A23=0,IF(AND(LEN(B23)&gt;0,LEN(D23)=0),VLOOKUP(B23,'[1]zawodnicy'!$A:$E,1,FALSE),IF(AND(LEN(D23)&gt;0,LEN(B23)=0),VLOOKUP(D23,'[1]zawodnicy'!$A:$E,1,FALSE),"")),IF((VLOOKUP(A23,'[1]plan gier'!$X:$AF,7,FALSE))="","",VLOOKUP(VLOOKUP(A23,'[1]plan gier'!$X:$AF,7,FALSE),'[1]zawodnicy'!$A:$E,1,FALSE)))</f>
        <v>M0019</v>
      </c>
      <c r="G23" s="2" t="str">
        <f>IF(A23=0,IF(AND(LEN(C23)&gt;1,LEN(E23)=0),VLOOKUP(C23,'[1]zawodnicy'!$A:$E,1,FALSE),IF(AND(LEN(E23)&gt;1,LEN(C23)=0),VLOOKUP(E23,'[1]zawodnicy'!$A:$E,1,FALSE),"")),IF((VLOOKUP(A23,'[1]plan gier'!$X:$AF,8,FALSE))="","",VLOOKUP(VLOOKUP(A23,'[1]plan gier'!$X:$AF,8,FALSE),'[1]zawodnicy'!$A:$E,1,FALSE)))</f>
        <v>P0003</v>
      </c>
      <c r="H23" s="2" t="str">
        <f>IF(A23=0,"",IF((VLOOKUP(A23,'[1]plan gier'!$X:$AF,7,FALSE))="","",VLOOKUP(A23,'[1]plan gier'!$X:$AF,9,FALSE)))</f>
        <v>21:17,21:18</v>
      </c>
      <c r="I23" s="2" t="str">
        <f>IF(A23=0,"",IF(VLOOKUP(A23,'[1]plan gier'!A:S,19,FALSE)="","",VLOOKUP(A23,'[1]plan gier'!A:S,19,FALSE)))</f>
        <v>godz.14:40</v>
      </c>
      <c r="J23" s="2">
        <f>L9</f>
        <v>0</v>
      </c>
      <c r="L23" s="145" t="s">
        <v>72</v>
      </c>
      <c r="N23" s="228" t="str">
        <f>UPPER(IF(M22="","",IF(ISTEXT(L23),L23,IF(AND(L7&gt;0,M22&gt;0),VLOOKUP(L7&amp;M22&amp;J23,'[1]grup-puch'!I:K,3,FALSE),""))))</f>
        <v>Ś0002</v>
      </c>
      <c r="O23" s="229" t="str">
        <f>IF(N23&lt;&gt;"",CONCATENATE(VLOOKUP(N23,'[1]zawodnicy'!$A:$E,2,FALSE)," ",VLOOKUP(N23,'[1]zawodnicy'!$A:$E,3,FALSE)," - ",VLOOKUP(N23,'[1]zawodnicy'!$A:$E,4,FALSE)),"")</f>
        <v>Ernest ŚCIPIEŃ - Nowa Dęba</v>
      </c>
      <c r="P23" s="230">
        <v>69</v>
      </c>
      <c r="Q23" s="241" t="str">
        <f>IF(G23="","",VLOOKUP(G23,'[1]zawodnicy'!$A:$D,3,FALSE))</f>
        <v>PIENIĄŻEK</v>
      </c>
      <c r="R23" s="128"/>
      <c r="S23" s="128"/>
      <c r="T23" s="128"/>
    </row>
    <row r="24" spans="11:20" ht="15">
      <c r="K24" s="142">
        <f>IF(L8&gt;4,32,"")</f>
        <v>32</v>
      </c>
      <c r="L24" s="145" t="s">
        <v>38</v>
      </c>
      <c r="M24" s="219">
        <f>IF(K24="","",MAX(M10:M23)+1)</f>
        <v>8</v>
      </c>
      <c r="N24" s="224" t="str">
        <f>UPPER(IF(M24="","",IF(ISTEXT(L24),L24,IF(AND(L7&gt;0,M24&gt;0),VLOOKUP(L7&amp;M24&amp;J23,'[1]grup-puch'!I:J,2,FALSE),""))))</f>
        <v>M0019</v>
      </c>
      <c r="O24" s="225" t="str">
        <f>IF(N24&lt;&gt;"",CONCATENATE(VLOOKUP(N24,'[1]zawodnicy'!$A:$E,2,FALSE)," ",VLOOKUP(N24,'[1]zawodnicy'!$A:$E,3,FALSE)," - ",VLOOKUP(N24,'[1]zawodnicy'!$A:$E,4,FALSE)),"")</f>
        <v>Grzegorz MAC  - Rzeszów</v>
      </c>
      <c r="P24" s="232"/>
      <c r="Q24" s="242" t="str">
        <f>IF(H23="",I23,H23)</f>
        <v>21:17,21:18</v>
      </c>
      <c r="R24" s="128"/>
      <c r="S24" s="128"/>
      <c r="T24" s="128"/>
    </row>
    <row r="25" spans="1:20" ht="15">
      <c r="A25" s="244"/>
      <c r="B25" s="15"/>
      <c r="C25" s="15"/>
      <c r="D25" s="15"/>
      <c r="E25" s="15"/>
      <c r="F25" s="15"/>
      <c r="G25" s="15"/>
      <c r="H25" s="15"/>
      <c r="I25" s="15"/>
      <c r="J25" s="15"/>
      <c r="L25" s="145" t="s">
        <v>20</v>
      </c>
      <c r="N25" s="228" t="str">
        <f>UPPER(IF(M24="","",IF(ISTEXT(L25),L25,IF(AND(L7&gt;0,M24&gt;0),VLOOKUP(L7&amp;M24&amp;J23,'[1]grup-puch'!I:K,3,FALSE),""))))</f>
        <v>P0003</v>
      </c>
      <c r="O25" s="229" t="str">
        <f>IF(N25&lt;&gt;"",CONCATENATE(VLOOKUP(N25,'[1]zawodnicy'!$A:$E,2,FALSE)," ",VLOOKUP(N25,'[1]zawodnicy'!$A:$E,3,FALSE)," - ",VLOOKUP(N25,'[1]zawodnicy'!$A:$E,4,FALSE)),"")</f>
        <v>Łukasz PIENIĄŻEK - Rzeszów</v>
      </c>
      <c r="P25" s="245"/>
      <c r="Q25" s="227"/>
      <c r="R25" s="128"/>
      <c r="S25" s="137"/>
      <c r="T25" s="128"/>
    </row>
    <row r="26" ht="11.25" customHeight="1"/>
    <row r="27" ht="11.25" customHeight="1">
      <c r="O27" s="1" t="s">
        <v>76</v>
      </c>
    </row>
    <row r="28" spans="12:20" ht="15">
      <c r="L28" s="246">
        <f>J31</f>
        <v>0</v>
      </c>
      <c r="N28" s="350" t="s">
        <v>54</v>
      </c>
      <c r="O28" s="350"/>
      <c r="P28" s="350"/>
      <c r="Q28" s="121" t="s">
        <v>55</v>
      </c>
      <c r="R28" s="121"/>
      <c r="S28" s="121"/>
      <c r="T28" s="121"/>
    </row>
    <row r="29" spans="10:20" ht="15">
      <c r="J29" s="247"/>
      <c r="L29" s="246" t="s">
        <v>56</v>
      </c>
      <c r="M29" s="10"/>
      <c r="Q29" s="121"/>
      <c r="R29" s="121"/>
      <c r="S29" s="121"/>
      <c r="T29" s="121"/>
    </row>
    <row r="30" spans="12:20" ht="15">
      <c r="L30" s="145">
        <v>70</v>
      </c>
      <c r="N30" s="224" t="str">
        <f>IF(L30="","",IF(LEN(VLOOKUP(L30,A:J,6,FALSE))=0,"",IF(VLOOKUP(L30,A:J,6,FALSE)=VLOOKUP(L30,A:M,2,FALSE),VLOOKUP(L30,A:M,4,FALSE),VLOOKUP(L30,A:M,2,FALSE))))</f>
        <v>K0034</v>
      </c>
      <c r="O30" s="225" t="str">
        <f>IF(N30&lt;&gt;"",CONCATENATE(VLOOKUP(N30,'[1]zawodnicy'!$A:$E,2,FALSE)," ",VLOOKUP(N30,'[1]zawodnicy'!$A:$E,3,FALSE)," - ",VLOOKUP(N30,'[1]zawodnicy'!$A:$E,4,FALSE)),"")</f>
        <v>Marcin KOWALIK - Rzeszów</v>
      </c>
      <c r="P30" s="226"/>
      <c r="Q30" s="227" t="str">
        <f>IF(F31="","",VLOOKUP(F31,'[1]zawodnicy'!$A:$D,3,FALSE))</f>
        <v>KOWALIK</v>
      </c>
      <c r="R30" s="128"/>
      <c r="S30" s="128"/>
      <c r="T30" s="128"/>
    </row>
    <row r="31" spans="1:20" ht="15">
      <c r="A31" s="122">
        <f>P31</f>
        <v>72</v>
      </c>
      <c r="B31" s="2" t="str">
        <f>IF(N30="","",N30)</f>
        <v>K0034</v>
      </c>
      <c r="C31" s="2" t="str">
        <f>IF(N31="","",N31)</f>
        <v>W0010</v>
      </c>
      <c r="D31" s="2" t="str">
        <f>IF(N32="","",N32)</f>
        <v>K0029</v>
      </c>
      <c r="E31" s="2" t="str">
        <f>IF(N33="","",N33)</f>
        <v>R0008</v>
      </c>
      <c r="F31" s="2" t="str">
        <f>IF(A31=0,IF(AND(LEN(B31)&gt;0,LEN(D31)=0),VLOOKUP(B31,'[1]zawodnicy'!$A:$E,1,FALSE),IF(AND(LEN(D31)&gt;0,LEN(B31)=0),VLOOKUP(D31,'[1]zawodnicy'!$A:$E,1,FALSE),"")),IF((VLOOKUP(A31,'[1]plan gier'!$X:$AF,7,FALSE))="","",VLOOKUP(VLOOKUP(A31,'[1]plan gier'!$X:$AF,7,FALSE),'[1]zawodnicy'!$A:$E,1,FALSE)))</f>
        <v>K0034</v>
      </c>
      <c r="G31" s="2" t="str">
        <f>IF(A31=0,IF(AND(LEN(C31)&gt;1,LEN(E31)=0),VLOOKUP(C31,'[1]zawodnicy'!$A:$E,1,FALSE),IF(AND(LEN(E31)&gt;1,LEN(C31)=0),VLOOKUP(E31,'[1]zawodnicy'!$A:$E,1,FALSE),"")),IF((VLOOKUP(A31,'[1]plan gier'!$X:$AF,8,FALSE))="","",VLOOKUP(VLOOKUP(A31,'[1]plan gier'!$X:$AF,8,FALSE),'[1]zawodnicy'!$A:$E,1,FALSE)))</f>
        <v>W0010</v>
      </c>
      <c r="H31" s="2" t="str">
        <f>IF(A31=0,"",IF((VLOOKUP(A31,'[1]plan gier'!$X:$AF,7,FALSE))="","",VLOOKUP(A31,'[1]plan gier'!$X:$AF,9,FALSE)))</f>
        <v>25:23,21:13</v>
      </c>
      <c r="I31" s="2" t="str">
        <f>IF(A31=0,"",IF(VLOOKUP(A31,'[1]plan gier'!A:S,19,FALSE)="","",VLOOKUP(A31,'[1]plan gier'!A:S,19,FALSE)))</f>
        <v>godz.14:40</v>
      </c>
      <c r="J31" s="2">
        <f>IF(L30="","",VLOOKUP(L30,A:J,10,FALSE))</f>
        <v>0</v>
      </c>
      <c r="L31" s="248"/>
      <c r="N31" s="228" t="str">
        <f>IF(L30="","",IF(LEN(VLOOKUP(L30,A:J,7,FALSE))=0,"",IF(VLOOKUP(L30,A:J,7,FALSE)=VLOOKUP(L30,A:M,3,FALSE),VLOOKUP(L30,A:M,5,FALSE),VLOOKUP(L30,A:M,3,FALSE))))</f>
        <v>W0010</v>
      </c>
      <c r="O31" s="229" t="str">
        <f>IF(N31&lt;&gt;"",CONCATENATE(VLOOKUP(N31,'[1]zawodnicy'!$A:$E,2,FALSE)," ",VLOOKUP(N31,'[1]zawodnicy'!$A:$E,3,FALSE)," - ",VLOOKUP(N31,'[1]zawodnicy'!$A:$E,4,FALSE)),"")</f>
        <v>Dariusz WALAS - Rzeszów</v>
      </c>
      <c r="P31" s="230">
        <v>72</v>
      </c>
      <c r="Q31" s="231" t="str">
        <f>IF(G31="","",VLOOKUP(G31,'[1]zawodnicy'!$A:$D,3,FALSE))</f>
        <v>WALAS</v>
      </c>
      <c r="R31" s="128"/>
      <c r="S31" s="128"/>
      <c r="T31" s="128"/>
    </row>
    <row r="32" spans="12:20" ht="15">
      <c r="L32" s="145">
        <v>71</v>
      </c>
      <c r="N32" s="224" t="str">
        <f>IF(L32="","",IF(LEN(VLOOKUP(L32,A:J,6,FALSE))=0,"",IF(VLOOKUP(L32,A:J,6,FALSE)=VLOOKUP(L32,A:M,2,FALSE),VLOOKUP(L32,A:M,4,FALSE),VLOOKUP(L32,A:M,2,FALSE))))</f>
        <v>K0029</v>
      </c>
      <c r="O32" s="225" t="str">
        <f>IF(N32&lt;&gt;"",CONCATENATE(VLOOKUP(N32,'[1]zawodnicy'!$A:$E,2,FALSE)," ",VLOOKUP(N32,'[1]zawodnicy'!$A:$E,3,FALSE)," - ",VLOOKUP(N32,'[1]zawodnicy'!$A:$E,4,FALSE)),"")</f>
        <v>Patryk KOPEĆ - Nowa Dęba</v>
      </c>
      <c r="P32" s="232"/>
      <c r="Q32" s="242" t="str">
        <f>IF(H31="",I31,H31)</f>
        <v>25:23,21:13</v>
      </c>
      <c r="R32" s="128"/>
      <c r="S32" s="128"/>
      <c r="T32" s="128"/>
    </row>
    <row r="33" spans="1:20" ht="15">
      <c r="A33" s="244"/>
      <c r="B33" s="15"/>
      <c r="C33" s="15"/>
      <c r="D33" s="15"/>
      <c r="E33" s="15"/>
      <c r="F33" s="15"/>
      <c r="G33" s="15"/>
      <c r="H33" s="15"/>
      <c r="I33" s="15"/>
      <c r="J33" s="15"/>
      <c r="L33" s="249"/>
      <c r="N33" s="228" t="str">
        <f>IF(L32="","",IF(LEN(VLOOKUP(L32,A:J,7,FALSE))=0,"",IF(VLOOKUP(L32,A:J,7,FALSE)=VLOOKUP(L32,A:M,3,FALSE),VLOOKUP(L32,A:M,5,FALSE),VLOOKUP(L32,A:M,3,FALSE))))</f>
        <v>R0008</v>
      </c>
      <c r="O33" s="229" t="str">
        <f>IF(N33&lt;&gt;"",CONCATENATE(VLOOKUP(N33,'[1]zawodnicy'!$A:$E,2,FALSE)," ",VLOOKUP(N33,'[1]zawodnicy'!$A:$E,3,FALSE)," - ",VLOOKUP(N33,'[1]zawodnicy'!$A:$E,4,FALSE)),"")</f>
        <v>Dawid RZESZUTEK - Mielec</v>
      </c>
      <c r="P33" s="245"/>
      <c r="Q33" s="250"/>
      <c r="R33" s="128"/>
      <c r="S33" s="128"/>
      <c r="T33" s="128"/>
    </row>
    <row r="34" ht="12.75"/>
  </sheetData>
  <sheetProtection password="A6CF" sheet="1"/>
  <mergeCells count="4">
    <mergeCell ref="M1:U1"/>
    <mergeCell ref="M2:U2"/>
    <mergeCell ref="M4:U4"/>
    <mergeCell ref="N28:P28"/>
  </mergeCells>
  <dataValidations count="1">
    <dataValidation type="list" allowBlank="1" showInputMessage="1" showErrorMessage="1" sqref="L9">
      <formula1>Podw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</dc:creator>
  <cp:keywords/>
  <dc:description/>
  <cp:lastModifiedBy>sony</cp:lastModifiedBy>
  <dcterms:created xsi:type="dcterms:W3CDTF">2011-11-16T21:20:38Z</dcterms:created>
  <dcterms:modified xsi:type="dcterms:W3CDTF">2011-11-18T20:47:00Z</dcterms:modified>
  <cp:category/>
  <cp:version/>
  <cp:contentType/>
  <cp:contentStatus/>
</cp:coreProperties>
</file>