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85" windowWidth="15990" windowHeight="525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Marek Łysakowski</author>
  </authors>
  <commentList>
    <comment ref="O6" authorId="0">
      <text>
        <r>
          <rPr>
            <b/>
            <sz val="10"/>
            <color indexed="8"/>
            <rFont val="Times New Roman CE"/>
            <family val="0"/>
          </rPr>
          <t>Wpisz nr grupy.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1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2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3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4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5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10"/>
            <color indexed="8"/>
            <rFont val="Times New Roman CE"/>
            <family val="0"/>
          </rPr>
          <t>Wpisz nr grupy.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24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25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26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31" authorId="0">
      <text>
        <r>
          <rPr>
            <b/>
            <sz val="10"/>
            <color indexed="8"/>
            <rFont val="Times New Roman CE"/>
            <family val="0"/>
          </rPr>
          <t>Wpisz nr grupy.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35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36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37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42" authorId="0">
      <text>
        <r>
          <rPr>
            <b/>
            <sz val="10"/>
            <color indexed="8"/>
            <rFont val="Times New Roman CE"/>
            <family val="0"/>
          </rPr>
          <t>Wpisz nr grupy.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46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47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48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49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50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51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N58" authorId="0">
      <text>
        <r>
          <rPr>
            <b/>
            <sz val="9"/>
            <color indexed="8"/>
            <rFont val="Tahoma"/>
            <family val="2"/>
          </rPr>
          <t>W celu wypełnienia drabinki po zakończeniu gier w grupach wybierz rodzaj gry</t>
        </r>
      </text>
    </comment>
    <comment ref="V59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Y61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V63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B65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V67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Y69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V71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N77" authorId="0">
      <text>
        <r>
          <rPr>
            <b/>
            <sz val="9"/>
            <color indexed="8"/>
            <rFont val="Tahoma"/>
            <family val="2"/>
          </rPr>
          <t>Wpisz nr meczu półfinałowego z górnej połówki drabinki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V77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N78" authorId="0">
      <text>
        <r>
          <rPr>
            <b/>
            <sz val="9"/>
            <color indexed="8"/>
            <rFont val="Tahoma"/>
            <family val="2"/>
          </rPr>
          <t>Wpisz nr meczu półfinałowego z dolnej połówki drabinki</t>
        </r>
      </text>
    </comment>
    <comment ref="O83" authorId="0">
      <text>
        <r>
          <rPr>
            <b/>
            <sz val="10"/>
            <color indexed="8"/>
            <rFont val="Times New Roman CE"/>
            <family val="0"/>
          </rPr>
          <t>Wpisz nr grupy.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87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88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89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94" authorId="0">
      <text>
        <r>
          <rPr>
            <b/>
            <sz val="10"/>
            <color indexed="8"/>
            <rFont val="Times New Roman CE"/>
            <family val="0"/>
          </rPr>
          <t>Wpisz nr grupy.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98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99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00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105" authorId="0">
      <text>
        <r>
          <rPr>
            <b/>
            <sz val="10"/>
            <color indexed="8"/>
            <rFont val="Times New Roman CE"/>
            <family val="0"/>
          </rPr>
          <t>Wpisz nr grupy.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09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10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11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N117" authorId="0">
      <text>
        <r>
          <rPr>
            <b/>
            <sz val="9"/>
            <color indexed="8"/>
            <rFont val="Tahoma"/>
            <family val="2"/>
          </rPr>
          <t>W celu wypełnienia drabinki po zakończeniu gier w grupach wybierz rodzaj gry</t>
        </r>
      </text>
    </comment>
    <comment ref="Y120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V122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B124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V126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Y128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N136" authorId="0">
      <text>
        <r>
          <rPr>
            <b/>
            <sz val="9"/>
            <color indexed="8"/>
            <rFont val="Tahoma"/>
            <family val="2"/>
          </rPr>
          <t>Wpisz nr meczu półfinałowego z górnej połówki drabinki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V136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N137" authorId="0">
      <text>
        <r>
          <rPr>
            <b/>
            <sz val="9"/>
            <color indexed="8"/>
            <rFont val="Tahoma"/>
            <family val="2"/>
          </rPr>
          <t>Wpisz nr meczu półfinałowego z dolnej połówki drabinki</t>
        </r>
      </text>
    </comment>
    <comment ref="S145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46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47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48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49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50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51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52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53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54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160" authorId="0">
      <text>
        <r>
          <rPr>
            <b/>
            <sz val="10"/>
            <color indexed="8"/>
            <rFont val="Times New Roman CE"/>
            <family val="0"/>
          </rPr>
          <t>Wpisz nr grupy.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64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65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66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173" authorId="0">
      <text>
        <r>
          <rPr>
            <b/>
            <sz val="10"/>
            <color indexed="8"/>
            <rFont val="Times New Roman CE"/>
            <family val="0"/>
          </rPr>
          <t>Wpisz nr grupy.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77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78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79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80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81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82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189" authorId="0">
      <text>
        <r>
          <rPr>
            <b/>
            <sz val="10"/>
            <color indexed="8"/>
            <rFont val="Times New Roman CE"/>
            <family val="0"/>
          </rPr>
          <t>Wpisz nr grupy.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93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94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95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200" authorId="0">
      <text>
        <r>
          <rPr>
            <b/>
            <sz val="10"/>
            <color indexed="8"/>
            <rFont val="Times New Roman CE"/>
            <family val="0"/>
          </rPr>
          <t>Wpisz nr grupy.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204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205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206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211" authorId="0">
      <text>
        <r>
          <rPr>
            <b/>
            <sz val="10"/>
            <color indexed="8"/>
            <rFont val="Times New Roman CE"/>
            <family val="0"/>
          </rPr>
          <t>Wpisz nr grupy.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215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216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217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222" authorId="0">
      <text>
        <r>
          <rPr>
            <b/>
            <sz val="10"/>
            <color indexed="8"/>
            <rFont val="Times New Roman CE"/>
            <family val="0"/>
          </rPr>
          <t>Wpisz nr grupy.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226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227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228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N236" authorId="0">
      <text>
        <r>
          <rPr>
            <b/>
            <sz val="10"/>
            <color indexed="8"/>
            <rFont val="Times New Roman CE"/>
            <family val="0"/>
          </rPr>
          <t>Dla systemu grupowo-pucharowego wpisz miejsce w grupie.</t>
        </r>
      </text>
    </comment>
    <comment ref="O236" authorId="0">
      <text>
        <r>
          <rPr>
            <b/>
            <sz val="10"/>
            <color indexed="8"/>
            <rFont val="Times New Roman CE"/>
            <family val="0"/>
          </rPr>
          <t>Dla systemu pucharowego wpisz ilość zawodników.</t>
        </r>
        <r>
          <rPr>
            <b/>
            <sz val="10"/>
            <color indexed="8"/>
            <rFont val="Times New Roman CE"/>
            <family val="0"/>
          </rPr>
          <t xml:space="preserve">
Dla systemu grupowo-pucharowego wpisz ilość grup.</t>
        </r>
      </text>
    </comment>
    <comment ref="V239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Y241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V243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N252" authorId="0">
      <text>
        <r>
          <rPr>
            <b/>
            <sz val="9"/>
            <color indexed="8"/>
            <rFont val="Tahoma"/>
            <family val="2"/>
          </rPr>
          <t>Wpisz nr meczu półfinałowego z górnej połówki drabinki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V253" authorId="0">
      <text>
        <r>
          <rPr>
            <b/>
            <sz val="14"/>
            <color indexed="8"/>
            <rFont val="Times New Roman"/>
            <family val="1"/>
          </rPr>
          <t>wpisz nr gry</t>
        </r>
        <r>
          <rPr>
            <b/>
            <sz val="14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N254" authorId="0">
      <text>
        <r>
          <rPr>
            <b/>
            <sz val="9"/>
            <color indexed="8"/>
            <rFont val="Tahoma"/>
            <family val="2"/>
          </rPr>
          <t>Wpisz nr meczu półfinałowego z dolnej połówki drabinki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<sst xmlns="http://schemas.openxmlformats.org/spreadsheetml/2006/main" count="504" uniqueCount="77">
  <si>
    <t>Beginners</t>
  </si>
  <si>
    <t>Lp</t>
  </si>
  <si>
    <t>Zawodnik</t>
  </si>
  <si>
    <t>Punkty</t>
  </si>
  <si>
    <t>Sety</t>
  </si>
  <si>
    <t>Mecze</t>
  </si>
  <si>
    <t>Miejsce</t>
  </si>
  <si>
    <t>Z planu gier</t>
  </si>
  <si>
    <t>Do obliczeń</t>
  </si>
  <si>
    <t>Kolejność
gier</t>
  </si>
  <si>
    <t>Nr
gry</t>
  </si>
  <si>
    <t>S0029</t>
  </si>
  <si>
    <t>1 set</t>
  </si>
  <si>
    <t>2 set</t>
  </si>
  <si>
    <t>3 set</t>
  </si>
  <si>
    <t>1-3</t>
  </si>
  <si>
    <t>H0006</t>
  </si>
  <si>
    <t>2-4</t>
  </si>
  <si>
    <t>1-4</t>
  </si>
  <si>
    <t>2-3</t>
  </si>
  <si>
    <t>R0016</t>
  </si>
  <si>
    <t>3-4</t>
  </si>
  <si>
    <t>1-2</t>
  </si>
  <si>
    <t>W0013</t>
  </si>
  <si>
    <t>D0008</t>
  </si>
  <si>
    <t>S0033</t>
  </si>
  <si>
    <t>G0014</t>
  </si>
  <si>
    <t>M0026</t>
  </si>
  <si>
    <t>O0006</t>
  </si>
  <si>
    <t>P0021</t>
  </si>
  <si>
    <t>s0028</t>
  </si>
  <si>
    <t>s0032</t>
  </si>
  <si>
    <t>g0016</t>
  </si>
  <si>
    <t>S0035</t>
  </si>
  <si>
    <t>mecze o miejsca I-VIII</t>
  </si>
  <si>
    <t>1. z gr. 1</t>
  </si>
  <si>
    <t>2. z gr. 4</t>
  </si>
  <si>
    <t>1. z gr. 2</t>
  </si>
  <si>
    <t>2. z gr. 3</t>
  </si>
  <si>
    <t>2. z gr. 2</t>
  </si>
  <si>
    <t>1. z gr. 3</t>
  </si>
  <si>
    <t>2. z gr. 1</t>
  </si>
  <si>
    <t>1. z gr. 4</t>
  </si>
  <si>
    <t>mecz o III miejsce</t>
  </si>
  <si>
    <t>4.</t>
  </si>
  <si>
    <t>3.</t>
  </si>
  <si>
    <t>o 3 miejsce</t>
  </si>
  <si>
    <t>Runners Up</t>
  </si>
  <si>
    <t>S0020</t>
  </si>
  <si>
    <t>G0017</t>
  </si>
  <si>
    <t>G0011</t>
  </si>
  <si>
    <t>O0004</t>
  </si>
  <si>
    <t>K0038</t>
  </si>
  <si>
    <t>W0014</t>
  </si>
  <si>
    <t>K0012</t>
  </si>
  <si>
    <t>K0022</t>
  </si>
  <si>
    <t>G0015</t>
  </si>
  <si>
    <t>mecze o miejsca I - VI</t>
  </si>
  <si>
    <t>Kobiet</t>
  </si>
  <si>
    <t>2-5</t>
  </si>
  <si>
    <t>4-5</t>
  </si>
  <si>
    <t>G0016</t>
  </si>
  <si>
    <t>4-2</t>
  </si>
  <si>
    <t>5-1</t>
  </si>
  <si>
    <t>4-1</t>
  </si>
  <si>
    <t>5-3</t>
  </si>
  <si>
    <t>Old Boys</t>
  </si>
  <si>
    <t>K0003</t>
  </si>
  <si>
    <t>O0001</t>
  </si>
  <si>
    <t>Open</t>
  </si>
  <si>
    <t>I0002</t>
  </si>
  <si>
    <t>S0030</t>
  </si>
  <si>
    <t>K0011</t>
  </si>
  <si>
    <t>Gra podwójna</t>
  </si>
  <si>
    <t>S0028</t>
  </si>
  <si>
    <t>S0032</t>
  </si>
  <si>
    <t>mecze o miejsca I-IV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</si>
</sst>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000"/>
    <numFmt numFmtId="166" formatCode="0.000000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 CE"/>
      <family val="0"/>
    </font>
    <font>
      <sz val="8"/>
      <color indexed="8"/>
      <name val="Tahoma"/>
      <family val="2"/>
    </font>
    <font>
      <b/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Times New Roman CE"/>
      <family val="1"/>
    </font>
    <font>
      <b/>
      <sz val="12"/>
      <color rgb="FF000000"/>
      <name val="Times New Roman CE"/>
      <family val="1"/>
    </font>
    <font>
      <b/>
      <sz val="8"/>
      <color rgb="FF000000"/>
      <name val="Times New Roman CE"/>
      <family val="1"/>
    </font>
    <font>
      <b/>
      <sz val="10"/>
      <color rgb="FFFF0000"/>
      <name val="Times New Roman CE"/>
      <family val="1"/>
    </font>
    <font>
      <sz val="10"/>
      <color rgb="FF000000"/>
      <name val="Times New Roman CE"/>
      <family val="1"/>
    </font>
    <font>
      <sz val="10"/>
      <color rgb="FFFF0000"/>
      <name val="Times New Roman CE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6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 style="thin">
        <color rgb="FF000000"/>
      </left>
      <right/>
      <top style="double">
        <color rgb="FF000000"/>
      </top>
      <bottom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164" fontId="46" fillId="0" borderId="0" xfId="0" applyNumberFormat="1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33" borderId="0" xfId="0" applyFill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45" fillId="35" borderId="15" xfId="0" applyFont="1" applyFill="1" applyBorder="1" applyAlignment="1" applyProtection="1">
      <alignment vertical="center"/>
      <protection/>
    </xf>
    <xf numFmtId="0" fontId="45" fillId="0" borderId="16" xfId="0" applyFont="1" applyBorder="1" applyAlignment="1" applyProtection="1">
      <alignment horizontal="center" vertical="center" wrapText="1"/>
      <protection/>
    </xf>
    <xf numFmtId="0" fontId="45" fillId="0" borderId="17" xfId="0" applyFont="1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34" borderId="19" xfId="0" applyFill="1" applyBorder="1" applyAlignment="1" applyProtection="1">
      <alignment vertical="center"/>
      <protection locked="0"/>
    </xf>
    <xf numFmtId="0" fontId="45" fillId="0" borderId="20" xfId="0" applyFont="1" applyBorder="1" applyAlignment="1" applyProtection="1">
      <alignment horizontal="center" vertical="center" wrapText="1"/>
      <protection/>
    </xf>
    <xf numFmtId="0" fontId="45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23" xfId="0" applyFont="1" applyBorder="1" applyAlignment="1" applyProtection="1">
      <alignment horizontal="center" vertical="center" wrapText="1"/>
      <protection/>
    </xf>
    <xf numFmtId="0" fontId="45" fillId="35" borderId="19" xfId="0" applyFont="1" applyFill="1" applyBorder="1" applyAlignment="1" applyProtection="1">
      <alignment vertical="center"/>
      <protection/>
    </xf>
    <xf numFmtId="0" fontId="45" fillId="0" borderId="24" xfId="0" applyFont="1" applyBorder="1" applyAlignment="1" applyProtection="1">
      <alignment horizontal="center" vertical="center" wrapText="1"/>
      <protection/>
    </xf>
    <xf numFmtId="0" fontId="45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horizontal="center" vertical="center"/>
      <protection/>
    </xf>
    <xf numFmtId="164" fontId="49" fillId="0" borderId="0" xfId="0" applyNumberFormat="1" applyFont="1" applyFill="1" applyAlignment="1" applyProtection="1">
      <alignment vertical="center"/>
      <protection/>
    </xf>
    <xf numFmtId="0" fontId="45" fillId="0" borderId="15" xfId="0" applyFont="1" applyBorder="1" applyAlignment="1" applyProtection="1">
      <alignment horizontal="center" vertical="center" wrapText="1"/>
      <protection/>
    </xf>
    <xf numFmtId="0" fontId="45" fillId="35" borderId="0" xfId="0" applyFont="1" applyFill="1" applyAlignment="1" applyProtection="1">
      <alignment vertical="center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37" borderId="37" xfId="0" applyFill="1" applyBorder="1" applyAlignment="1" applyProtection="1">
      <alignment horizontal="center" vertical="center"/>
      <protection/>
    </xf>
    <xf numFmtId="0" fontId="0" fillId="37" borderId="38" xfId="0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 wrapText="1"/>
      <protection/>
    </xf>
    <xf numFmtId="0" fontId="45" fillId="0" borderId="21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45" fillId="35" borderId="24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37" borderId="44" xfId="0" applyFill="1" applyBorder="1" applyAlignment="1" applyProtection="1">
      <alignment horizontal="center" vertical="center"/>
      <protection/>
    </xf>
    <xf numFmtId="0" fontId="0" fillId="37" borderId="45" xfId="0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45" fillId="35" borderId="16" xfId="0" applyFont="1" applyFill="1" applyBorder="1" applyAlignment="1" applyProtection="1">
      <alignment vertical="center"/>
      <protection/>
    </xf>
    <xf numFmtId="0" fontId="45" fillId="35" borderId="49" xfId="0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 locked="0"/>
    </xf>
    <xf numFmtId="0" fontId="45" fillId="35" borderId="50" xfId="0" applyFont="1" applyFill="1" applyBorder="1" applyAlignment="1" applyProtection="1">
      <alignment vertical="center"/>
      <protection/>
    </xf>
    <xf numFmtId="0" fontId="45" fillId="0" borderId="41" xfId="0" applyFont="1" applyBorder="1" applyAlignment="1" applyProtection="1">
      <alignment horizontal="center" vertical="center" wrapText="1"/>
      <protection/>
    </xf>
    <xf numFmtId="0" fontId="45" fillId="0" borderId="42" xfId="0" applyFont="1" applyBorder="1" applyAlignment="1" applyProtection="1">
      <alignment horizontal="center" vertical="center" wrapText="1"/>
      <protection/>
    </xf>
    <xf numFmtId="0" fontId="45" fillId="35" borderId="51" xfId="0" applyFont="1" applyFill="1" applyBorder="1" applyAlignment="1" applyProtection="1">
      <alignment vertical="center"/>
      <protection/>
    </xf>
    <xf numFmtId="0" fontId="47" fillId="0" borderId="52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5" fillId="35" borderId="53" xfId="0" applyFont="1" applyFill="1" applyBorder="1" applyAlignment="1" applyProtection="1">
      <alignment vertical="center"/>
      <protection/>
    </xf>
    <xf numFmtId="0" fontId="45" fillId="0" borderId="54" xfId="0" applyFont="1" applyBorder="1" applyAlignment="1" applyProtection="1">
      <alignment horizontal="center" vertical="center" wrapText="1"/>
      <protection/>
    </xf>
    <xf numFmtId="0" fontId="45" fillId="0" borderId="55" xfId="0" applyFont="1" applyBorder="1" applyAlignment="1" applyProtection="1">
      <alignment horizontal="center" vertical="center" wrapText="1"/>
      <protection/>
    </xf>
    <xf numFmtId="0" fontId="0" fillId="35" borderId="26" xfId="0" applyFill="1" applyBorder="1" applyAlignment="1" applyProtection="1">
      <alignment vertical="center"/>
      <protection/>
    </xf>
    <xf numFmtId="0" fontId="0" fillId="35" borderId="27" xfId="0" applyFill="1" applyBorder="1" applyAlignment="1" applyProtection="1">
      <alignment vertical="center"/>
      <protection/>
    </xf>
    <xf numFmtId="0" fontId="0" fillId="37" borderId="56" xfId="0" applyFill="1" applyBorder="1" applyAlignment="1" applyProtection="1">
      <alignment vertical="center"/>
      <protection/>
    </xf>
    <xf numFmtId="0" fontId="0" fillId="37" borderId="29" xfId="0" applyFill="1" applyBorder="1" applyAlignment="1" applyProtection="1">
      <alignment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35" borderId="34" xfId="0" applyFill="1" applyBorder="1" applyAlignment="1" applyProtection="1">
      <alignment vertical="center"/>
      <protection/>
    </xf>
    <xf numFmtId="0" fontId="0" fillId="35" borderId="35" xfId="0" applyFill="1" applyBorder="1" applyAlignment="1" applyProtection="1">
      <alignment vertical="center"/>
      <protection/>
    </xf>
    <xf numFmtId="0" fontId="0" fillId="37" borderId="37" xfId="0" applyFill="1" applyBorder="1" applyAlignment="1" applyProtection="1">
      <alignment vertical="center"/>
      <protection/>
    </xf>
    <xf numFmtId="0" fontId="0" fillId="37" borderId="38" xfId="0" applyFill="1" applyBorder="1" applyAlignment="1" applyProtection="1">
      <alignment vertical="center"/>
      <protection/>
    </xf>
    <xf numFmtId="0" fontId="0" fillId="35" borderId="46" xfId="0" applyFill="1" applyBorder="1" applyAlignment="1" applyProtection="1">
      <alignment vertical="center"/>
      <protection/>
    </xf>
    <xf numFmtId="0" fontId="0" fillId="35" borderId="43" xfId="0" applyFill="1" applyBorder="1" applyAlignment="1" applyProtection="1">
      <alignment vertical="center"/>
      <protection/>
    </xf>
    <xf numFmtId="0" fontId="0" fillId="37" borderId="44" xfId="0" applyFill="1" applyBorder="1" applyAlignment="1" applyProtection="1">
      <alignment vertical="center"/>
      <protection/>
    </xf>
    <xf numFmtId="0" fontId="0" fillId="37" borderId="58" xfId="0" applyFill="1" applyBorder="1" applyAlignment="1" applyProtection="1">
      <alignment vertical="center"/>
      <protection/>
    </xf>
    <xf numFmtId="0" fontId="45" fillId="35" borderId="25" xfId="0" applyFont="1" applyFill="1" applyBorder="1" applyAlignment="1" applyProtection="1">
      <alignment vertical="center"/>
      <protection/>
    </xf>
    <xf numFmtId="0" fontId="45" fillId="35" borderId="17" xfId="0" applyFont="1" applyFill="1" applyBorder="1" applyAlignment="1" applyProtection="1">
      <alignment vertical="center"/>
      <protection/>
    </xf>
    <xf numFmtId="0" fontId="0" fillId="33" borderId="35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38" borderId="0" xfId="0" applyFont="1" applyFill="1" applyAlignment="1">
      <alignment vertical="center"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45" fillId="0" borderId="0" xfId="0" applyFont="1" applyFill="1" applyAlignment="1">
      <alignment horizontal="right" vertical="center"/>
    </xf>
    <xf numFmtId="0" fontId="45" fillId="0" borderId="59" xfId="0" applyFont="1" applyBorder="1" applyAlignment="1">
      <alignment horizontal="left"/>
    </xf>
    <xf numFmtId="0" fontId="45" fillId="0" borderId="38" xfId="0" applyFont="1" applyBorder="1" applyAlignment="1" applyProtection="1">
      <alignment vertical="center"/>
      <protection locked="0"/>
    </xf>
    <xf numFmtId="0" fontId="45" fillId="0" borderId="38" xfId="0" applyFont="1" applyBorder="1" applyAlignment="1">
      <alignment horizontal="right"/>
    </xf>
    <xf numFmtId="0" fontId="45" fillId="34" borderId="0" xfId="0" applyFont="1" applyFill="1" applyAlignment="1">
      <alignment vertical="center"/>
    </xf>
    <xf numFmtId="0" fontId="45" fillId="0" borderId="60" xfId="0" applyFont="1" applyBorder="1" applyAlignment="1" applyProtection="1">
      <alignment vertical="center"/>
      <protection locked="0"/>
    </xf>
    <xf numFmtId="0" fontId="45" fillId="0" borderId="6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5" fillId="39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36" borderId="0" xfId="0" applyFill="1" applyAlignment="1" applyProtection="1">
      <alignment horizontal="center" vertical="center"/>
      <protection/>
    </xf>
    <xf numFmtId="0" fontId="49" fillId="0" borderId="0" xfId="0" applyFont="1" applyAlignment="1">
      <alignment vertical="center"/>
    </xf>
    <xf numFmtId="0" fontId="0" fillId="34" borderId="35" xfId="0" applyFill="1" applyBorder="1" applyAlignment="1">
      <alignment horizontal="right" vertical="center"/>
    </xf>
    <xf numFmtId="0" fontId="0" fillId="0" borderId="61" xfId="0" applyFill="1" applyBorder="1" applyAlignment="1">
      <alignment horizontal="right" vertical="center"/>
    </xf>
    <xf numFmtId="0" fontId="45" fillId="0" borderId="10" xfId="0" applyFont="1" applyBorder="1" applyAlignment="1" applyProtection="1">
      <alignment vertical="center"/>
      <protection/>
    </xf>
    <xf numFmtId="0" fontId="45" fillId="0" borderId="10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horizontal="left" vertical="center"/>
      <protection/>
    </xf>
    <xf numFmtId="0" fontId="45" fillId="0" borderId="62" xfId="0" applyFont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54" xfId="0" applyFont="1" applyFill="1" applyBorder="1" applyAlignment="1" applyProtection="1">
      <alignment horizontal="center" vertical="center" wrapText="1"/>
      <protection/>
    </xf>
    <xf numFmtId="0" fontId="45" fillId="0" borderId="55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/>
      <protection/>
    </xf>
    <xf numFmtId="0" fontId="45" fillId="0" borderId="16" xfId="0" applyFont="1" applyFill="1" applyBorder="1" applyAlignment="1" applyProtection="1">
      <alignment horizontal="center" vertical="center" wrapText="1"/>
      <protection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/>
      <protection/>
    </xf>
    <xf numFmtId="49" fontId="45" fillId="0" borderId="0" xfId="0" applyNumberFormat="1" applyFont="1" applyAlignment="1" applyProtection="1">
      <alignment horizontal="right" vertical="center"/>
      <protection/>
    </xf>
    <xf numFmtId="0" fontId="45" fillId="0" borderId="23" xfId="0" applyFont="1" applyFill="1" applyBorder="1" applyAlignment="1" applyProtection="1">
      <alignment horizontal="center" vertical="center" wrapText="1"/>
      <protection/>
    </xf>
    <xf numFmtId="0" fontId="45" fillId="0" borderId="24" xfId="0" applyFont="1" applyFill="1" applyBorder="1" applyAlignment="1" applyProtection="1">
      <alignment horizontal="center" vertical="center" wrapText="1"/>
      <protection/>
    </xf>
    <xf numFmtId="0" fontId="45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165" fontId="49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0" fontId="45" fillId="0" borderId="15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35" borderId="34" xfId="0" applyFill="1" applyBorder="1" applyAlignment="1" applyProtection="1">
      <alignment/>
      <protection/>
    </xf>
    <xf numFmtId="0" fontId="0" fillId="35" borderId="35" xfId="0" applyFill="1" applyBorder="1" applyAlignment="1" applyProtection="1">
      <alignment/>
      <protection/>
    </xf>
    <xf numFmtId="0" fontId="0" fillId="37" borderId="37" xfId="0" applyFill="1" applyBorder="1" applyAlignment="1" applyProtection="1">
      <alignment horizontal="center"/>
      <protection/>
    </xf>
    <xf numFmtId="0" fontId="0" fillId="37" borderId="38" xfId="0" applyFill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9" xfId="0" applyBorder="1" applyAlignment="1" applyProtection="1">
      <alignment horizontal="center"/>
      <protection/>
    </xf>
    <xf numFmtId="0" fontId="45" fillId="0" borderId="28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37" borderId="44" xfId="0" applyFill="1" applyBorder="1" applyAlignment="1" applyProtection="1">
      <alignment horizontal="center"/>
      <protection/>
    </xf>
    <xf numFmtId="0" fontId="0" fillId="37" borderId="45" xfId="0" applyFill="1" applyBorder="1" applyAlignment="1" applyProtection="1">
      <alignment horizontal="center"/>
      <protection/>
    </xf>
    <xf numFmtId="0" fontId="0" fillId="0" borderId="46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37" borderId="58" xfId="0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64" xfId="0" applyBorder="1" applyAlignment="1" applyProtection="1">
      <alignment horizontal="center"/>
      <protection/>
    </xf>
    <xf numFmtId="0" fontId="49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0" fontId="0" fillId="0" borderId="47" xfId="0" applyBorder="1" applyAlignment="1" applyProtection="1">
      <alignment/>
      <protection/>
    </xf>
    <xf numFmtId="0" fontId="0" fillId="35" borderId="46" xfId="0" applyFill="1" applyBorder="1" applyAlignment="1" applyProtection="1">
      <alignment/>
      <protection/>
    </xf>
    <xf numFmtId="0" fontId="0" fillId="35" borderId="43" xfId="0" applyFill="1" applyBorder="1" applyAlignment="1" applyProtection="1">
      <alignment/>
      <protection/>
    </xf>
    <xf numFmtId="0" fontId="0" fillId="34" borderId="0" xfId="0" applyFill="1" applyAlignment="1" applyProtection="1">
      <alignment vertical="center"/>
      <protection locked="0"/>
    </xf>
    <xf numFmtId="0" fontId="45" fillId="0" borderId="41" xfId="0" applyFont="1" applyFill="1" applyBorder="1" applyAlignment="1" applyProtection="1">
      <alignment horizontal="center" vertical="center" wrapText="1"/>
      <protection/>
    </xf>
    <xf numFmtId="0" fontId="45" fillId="0" borderId="42" xfId="0" applyFont="1" applyFill="1" applyBorder="1" applyAlignment="1" applyProtection="1">
      <alignment horizontal="center" vertical="center" wrapText="1"/>
      <protection/>
    </xf>
    <xf numFmtId="0" fontId="0" fillId="34" borderId="35" xfId="0" applyFill="1" applyBorder="1" applyAlignment="1" applyProtection="1">
      <alignment horizontal="center" vertical="center"/>
      <protection/>
    </xf>
    <xf numFmtId="0" fontId="45" fillId="34" borderId="35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35" xfId="0" applyFill="1" applyBorder="1" applyAlignment="1">
      <alignment horizontal="center" vertical="center" wrapText="1"/>
    </xf>
    <xf numFmtId="0" fontId="45" fillId="36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5" fillId="0" borderId="19" xfId="0" applyFont="1" applyBorder="1" applyAlignment="1">
      <alignment horizontal="left"/>
    </xf>
    <xf numFmtId="0" fontId="45" fillId="0" borderId="65" xfId="0" applyFont="1" applyBorder="1" applyAlignment="1">
      <alignment/>
    </xf>
    <xf numFmtId="0" fontId="45" fillId="0" borderId="61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45" fillId="0" borderId="18" xfId="0" applyFont="1" applyBorder="1" applyAlignment="1">
      <alignment horizontal="left"/>
    </xf>
    <xf numFmtId="0" fontId="45" fillId="0" borderId="29" xfId="0" applyFont="1" applyBorder="1" applyAlignment="1" applyProtection="1">
      <alignment vertical="center"/>
      <protection locked="0"/>
    </xf>
    <xf numFmtId="0" fontId="45" fillId="0" borderId="65" xfId="0" applyFont="1" applyBorder="1" applyAlignment="1">
      <alignment vertical="center"/>
    </xf>
    <xf numFmtId="0" fontId="0" fillId="34" borderId="66" xfId="0" applyFill="1" applyBorder="1" applyAlignment="1">
      <alignment horizontal="center" vertical="center"/>
    </xf>
    <xf numFmtId="0" fontId="45" fillId="0" borderId="67" xfId="0" applyFont="1" applyBorder="1" applyAlignment="1">
      <alignment horizontal="left"/>
    </xf>
    <xf numFmtId="0" fontId="0" fillId="0" borderId="68" xfId="0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60" xfId="0" applyFont="1" applyBorder="1" applyAlignment="1">
      <alignment/>
    </xf>
    <xf numFmtId="0" fontId="45" fillId="0" borderId="0" xfId="0" applyFont="1" applyFill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5" fillId="0" borderId="30" xfId="0" applyFont="1" applyFill="1" applyBorder="1" applyAlignment="1">
      <alignment horizontal="left" vertical="center"/>
    </xf>
    <xf numFmtId="0" fontId="45" fillId="0" borderId="40" xfId="0" applyFont="1" applyFill="1" applyBorder="1" applyAlignment="1">
      <alignment horizontal="left" vertical="center"/>
    </xf>
    <xf numFmtId="0" fontId="45" fillId="0" borderId="61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9" xfId="0" applyFont="1" applyFill="1" applyBorder="1" applyAlignment="1">
      <alignment horizontal="left" vertical="center"/>
    </xf>
    <xf numFmtId="0" fontId="45" fillId="0" borderId="70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47" xfId="0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center" vertical="center"/>
      <protection/>
    </xf>
    <xf numFmtId="0" fontId="45" fillId="0" borderId="5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5" fillId="0" borderId="21" xfId="0" applyFont="1" applyFill="1" applyBorder="1" applyAlignment="1" applyProtection="1">
      <alignment horizontal="center" vertical="center"/>
      <protection/>
    </xf>
    <xf numFmtId="0" fontId="45" fillId="0" borderId="46" xfId="0" applyFont="1" applyFill="1" applyBorder="1" applyAlignment="1" applyProtection="1">
      <alignment horizontal="center" vertical="center"/>
      <protection/>
    </xf>
    <xf numFmtId="0" fontId="45" fillId="0" borderId="25" xfId="0" applyFont="1" applyFill="1" applyBorder="1" applyAlignment="1" applyProtection="1">
      <alignment horizontal="center" vertical="center"/>
      <protection/>
    </xf>
    <xf numFmtId="0" fontId="45" fillId="0" borderId="43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45" fillId="0" borderId="34" xfId="0" applyFont="1" applyFill="1" applyBorder="1" applyAlignment="1" applyProtection="1">
      <alignment horizontal="center" vertical="center"/>
      <protection/>
    </xf>
    <xf numFmtId="0" fontId="45" fillId="0" borderId="35" xfId="0" applyFont="1" applyFill="1" applyBorder="1" applyAlignment="1" applyProtection="1">
      <alignment horizontal="center" vertical="center"/>
      <protection/>
    </xf>
    <xf numFmtId="0" fontId="45" fillId="0" borderId="3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45" fillId="0" borderId="27" xfId="0" applyFont="1" applyFill="1" applyBorder="1" applyAlignment="1" applyProtection="1">
      <alignment horizontal="center" vertical="center"/>
      <protection/>
    </xf>
    <xf numFmtId="0" fontId="45" fillId="0" borderId="3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0" borderId="50" xfId="0" applyFont="1" applyFill="1" applyBorder="1" applyAlignment="1" applyProtection="1">
      <alignment horizontal="center" vertical="center" wrapText="1"/>
      <protection/>
    </xf>
    <xf numFmtId="0" fontId="45" fillId="0" borderId="26" xfId="0" applyFont="1" applyFill="1" applyBorder="1" applyAlignment="1" applyProtection="1">
      <alignment horizontal="center" vertical="center"/>
      <protection/>
    </xf>
    <xf numFmtId="0" fontId="45" fillId="0" borderId="55" xfId="0" applyFont="1" applyFill="1" applyBorder="1" applyAlignment="1" applyProtection="1">
      <alignment horizontal="center" vertical="center"/>
      <protection/>
    </xf>
    <xf numFmtId="0" fontId="0" fillId="37" borderId="26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35" borderId="26" xfId="0" applyFill="1" applyBorder="1" applyAlignment="1">
      <alignment/>
    </xf>
    <xf numFmtId="0" fontId="45" fillId="0" borderId="37" xfId="0" applyFont="1" applyFill="1" applyBorder="1" applyAlignment="1">
      <alignment horizontal="left" vertical="center"/>
    </xf>
    <xf numFmtId="0" fontId="45" fillId="0" borderId="0" xfId="0" applyFont="1" applyAlignment="1" applyProtection="1">
      <alignment vertical="center"/>
      <protection/>
    </xf>
    <xf numFmtId="0" fontId="45" fillId="0" borderId="38" xfId="0" applyFont="1" applyFill="1" applyBorder="1" applyAlignment="1">
      <alignment horizontal="left" vertical="center"/>
    </xf>
    <xf numFmtId="0" fontId="0" fillId="0" borderId="40" xfId="0" applyFill="1" applyBorder="1" applyAlignment="1">
      <alignment/>
    </xf>
    <xf numFmtId="0" fontId="0" fillId="0" borderId="24" xfId="0" applyFill="1" applyBorder="1" applyAlignment="1">
      <alignment/>
    </xf>
    <xf numFmtId="0" fontId="46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BITEK\AppData\Local\Opera\Opera\temporary_downloads\71%20GP%20Vict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gry"/>
      <sheetName val="plan_gier"/>
      <sheetName val="grup-puch"/>
      <sheetName val="puch"/>
      <sheetName val="tabelki"/>
      <sheetName val="drabinki"/>
      <sheetName val="sędziowie"/>
      <sheetName val="zawodnic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">
          <cell r="D2" t="str">
            <v>71 Grand Prix Victora</v>
          </cell>
        </row>
        <row r="3">
          <cell r="D3" t="str">
            <v>Mielec,  17-03-2013 r.</v>
          </cell>
        </row>
      </sheetData>
      <sheetData sheetId="2">
        <row r="1">
          <cell r="C1" t="str">
            <v>Boisko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 t="str">
            <v>Nr gry</v>
          </cell>
        </row>
        <row r="2">
          <cell r="A2" t="str">
            <v>Nr </v>
          </cell>
          <cell r="D2" t="str">
            <v>Drukowanie prorokółów</v>
          </cell>
          <cell r="N2">
            <v>1</v>
          </cell>
          <cell r="X2" t="str">
            <v>*</v>
          </cell>
        </row>
        <row r="3">
          <cell r="A3" t="str">
            <v>meczu</v>
          </cell>
          <cell r="S3">
            <v>41352</v>
          </cell>
          <cell r="X3" t="str">
            <v>nr gry</v>
          </cell>
          <cell r="Z3" t="str">
            <v>zawodnicy</v>
          </cell>
          <cell r="AD3" t="str">
            <v>awans</v>
          </cell>
          <cell r="AF3" t="str">
            <v>rezultat</v>
          </cell>
          <cell r="AI3" t="str">
            <v>1 set</v>
          </cell>
          <cell r="AK3" t="str">
            <v>2 set</v>
          </cell>
          <cell r="AM3" t="str">
            <v>3 set</v>
          </cell>
        </row>
        <row r="4">
          <cell r="B4">
            <v>1</v>
          </cell>
          <cell r="C4" t="str">
            <v>dzień turnieju.</v>
          </cell>
          <cell r="I4" t="str">
            <v>Nr meczu</v>
          </cell>
          <cell r="N4" t="str">
            <v>Godz.</v>
          </cell>
          <cell r="R4" t="str">
            <v>S. prow.</v>
          </cell>
          <cell r="AF4" t="str">
            <v>wygrany</v>
          </cell>
          <cell r="AG4" t="str">
            <v>przegrany</v>
          </cell>
        </row>
        <row r="5">
          <cell r="B5" t="str">
            <v>Boisko</v>
          </cell>
          <cell r="C5" t="str">
            <v>Gra</v>
          </cell>
          <cell r="I5">
            <v>1</v>
          </cell>
          <cell r="N5" t="str">
            <v>rozp.</v>
          </cell>
          <cell r="P5" t="str">
            <v>zak.</v>
          </cell>
          <cell r="R5" t="str">
            <v>S. serw.</v>
          </cell>
        </row>
        <row r="6">
          <cell r="A6">
            <v>1</v>
          </cell>
          <cell r="C6" t="str">
            <v>Beginners</v>
          </cell>
          <cell r="H6">
            <v>21</v>
          </cell>
          <cell r="I6">
            <v>6</v>
          </cell>
          <cell r="J6">
            <v>21</v>
          </cell>
          <cell r="K6">
            <v>8</v>
          </cell>
          <cell r="R6">
            <v>0</v>
          </cell>
          <cell r="S6" t="str">
            <v>godz.9:00</v>
          </cell>
          <cell r="X6">
            <v>1</v>
          </cell>
          <cell r="Y6" t="str">
            <v>Beginners</v>
          </cell>
          <cell r="Z6" t="str">
            <v>S0029</v>
          </cell>
          <cell r="AA6" t="str">
            <v/>
          </cell>
          <cell r="AB6" t="str">
            <v>R0016</v>
          </cell>
          <cell r="AC6" t="str">
            <v/>
          </cell>
          <cell r="AD6" t="str">
            <v>S0029</v>
          </cell>
          <cell r="AE6" t="str">
            <v/>
          </cell>
          <cell r="AF6" t="str">
            <v>21:6,21:8</v>
          </cell>
          <cell r="AG6" t="str">
            <v>6:21,8:21</v>
          </cell>
          <cell r="AH6" t="str">
            <v/>
          </cell>
          <cell r="AI6">
            <v>21</v>
          </cell>
          <cell r="AJ6">
            <v>6</v>
          </cell>
          <cell r="AK6">
            <v>21</v>
          </cell>
          <cell r="AL6">
            <v>8</v>
          </cell>
          <cell r="AM6">
            <v>0</v>
          </cell>
          <cell r="AN6">
            <v>0</v>
          </cell>
        </row>
        <row r="7">
          <cell r="A7" t="str">
            <v/>
          </cell>
          <cell r="B7" t="str">
            <v>Patryk STOLARZ (Mielec)</v>
          </cell>
          <cell r="H7" t="str">
            <v>S0029</v>
          </cell>
          <cell r="K7" t="str">
            <v>R0016</v>
          </cell>
          <cell r="N7" t="str">
            <v>Oliwia RYBIŃSKA (Mielec)</v>
          </cell>
        </row>
        <row r="8">
          <cell r="A8" t="str">
            <v/>
          </cell>
          <cell r="B8" t="str">
            <v/>
          </cell>
          <cell r="H8" t="str">
            <v/>
          </cell>
          <cell r="K8" t="str">
            <v/>
          </cell>
          <cell r="N8" t="str">
            <v/>
          </cell>
        </row>
        <row r="10">
          <cell r="B10" t="str">
            <v>zwycięzca(cy): 21:6,21:8</v>
          </cell>
          <cell r="K10" t="str">
            <v/>
          </cell>
        </row>
        <row r="11">
          <cell r="B11">
            <v>2</v>
          </cell>
          <cell r="C11" t="str">
            <v>dzień turnieju.</v>
          </cell>
          <cell r="I11" t="str">
            <v>Nr meczu</v>
          </cell>
          <cell r="N11" t="str">
            <v>Godz.</v>
          </cell>
          <cell r="R11" t="str">
            <v>S. prow.</v>
          </cell>
          <cell r="AF11" t="str">
            <v>wygrany</v>
          </cell>
          <cell r="AG11" t="str">
            <v>przegrany</v>
          </cell>
        </row>
        <row r="12">
          <cell r="B12" t="str">
            <v>Boisko</v>
          </cell>
          <cell r="C12" t="str">
            <v>Gra</v>
          </cell>
          <cell r="I12">
            <v>2</v>
          </cell>
          <cell r="N12" t="str">
            <v>rozp.</v>
          </cell>
          <cell r="P12" t="str">
            <v>zak.</v>
          </cell>
          <cell r="R12" t="str">
            <v>S. serw.</v>
          </cell>
        </row>
        <row r="13">
          <cell r="A13">
            <v>2</v>
          </cell>
          <cell r="C13" t="str">
            <v>Beginners</v>
          </cell>
          <cell r="H13">
            <v>22</v>
          </cell>
          <cell r="I13">
            <v>20</v>
          </cell>
          <cell r="J13">
            <v>10</v>
          </cell>
          <cell r="K13">
            <v>21</v>
          </cell>
          <cell r="L13">
            <v>14</v>
          </cell>
          <cell r="M13">
            <v>21</v>
          </cell>
          <cell r="R13">
            <v>0</v>
          </cell>
          <cell r="S13" t="str">
            <v>godz.9:00</v>
          </cell>
          <cell r="X13">
            <v>2</v>
          </cell>
          <cell r="Y13" t="str">
            <v>Beginners</v>
          </cell>
          <cell r="Z13" t="str">
            <v>H0006</v>
          </cell>
          <cell r="AA13" t="str">
            <v/>
          </cell>
          <cell r="AB13" t="str">
            <v>W0013</v>
          </cell>
          <cell r="AC13" t="str">
            <v/>
          </cell>
          <cell r="AD13" t="str">
            <v>W0013</v>
          </cell>
          <cell r="AE13" t="str">
            <v/>
          </cell>
          <cell r="AF13" t="str">
            <v>20:22,21:10,21:14</v>
          </cell>
          <cell r="AG13" t="str">
            <v>22:20,10:21,14:21</v>
          </cell>
          <cell r="AH13" t="str">
            <v/>
          </cell>
          <cell r="AI13">
            <v>22</v>
          </cell>
          <cell r="AJ13">
            <v>20</v>
          </cell>
          <cell r="AK13">
            <v>10</v>
          </cell>
          <cell r="AL13">
            <v>21</v>
          </cell>
          <cell r="AM13">
            <v>14</v>
          </cell>
          <cell r="AN13">
            <v>21</v>
          </cell>
        </row>
        <row r="14">
          <cell r="A14" t="str">
            <v/>
          </cell>
          <cell r="B14" t="str">
            <v>Natalia HAŁATA (Mielec)</v>
          </cell>
          <cell r="H14" t="str">
            <v>H0006</v>
          </cell>
          <cell r="K14" t="str">
            <v>W0013</v>
          </cell>
          <cell r="N14" t="str">
            <v>Olaf WARNECKI (Rzeszów)</v>
          </cell>
        </row>
        <row r="15">
          <cell r="A15" t="str">
            <v/>
          </cell>
          <cell r="B15" t="str">
            <v/>
          </cell>
          <cell r="H15" t="str">
            <v/>
          </cell>
          <cell r="K15" t="str">
            <v/>
          </cell>
          <cell r="N15" t="str">
            <v/>
          </cell>
        </row>
        <row r="17">
          <cell r="B17" t="str">
            <v/>
          </cell>
          <cell r="K17" t="str">
            <v>zwycięzca(cy): 20:22,21:10,21:14</v>
          </cell>
        </row>
        <row r="18">
          <cell r="B18">
            <v>3</v>
          </cell>
          <cell r="C18" t="str">
            <v>dzień turnieju.</v>
          </cell>
          <cell r="I18" t="str">
            <v>Nr meczu</v>
          </cell>
          <cell r="N18" t="str">
            <v>Godz.</v>
          </cell>
          <cell r="R18" t="str">
            <v>S. prow.</v>
          </cell>
          <cell r="AF18" t="str">
            <v>wygrany</v>
          </cell>
          <cell r="AG18" t="str">
            <v>przegrany</v>
          </cell>
        </row>
        <row r="19">
          <cell r="B19" t="str">
            <v>Boisko</v>
          </cell>
          <cell r="C19" t="str">
            <v>Gra</v>
          </cell>
          <cell r="I19">
            <v>3</v>
          </cell>
          <cell r="N19" t="str">
            <v>rozp.</v>
          </cell>
          <cell r="P19" t="str">
            <v>zak.</v>
          </cell>
          <cell r="R19" t="str">
            <v>S. serw.</v>
          </cell>
        </row>
        <row r="20">
          <cell r="A20">
            <v>3</v>
          </cell>
          <cell r="C20" t="str">
            <v>Beginners</v>
          </cell>
          <cell r="H20">
            <v>21</v>
          </cell>
          <cell r="I20">
            <v>19</v>
          </cell>
          <cell r="J20">
            <v>21</v>
          </cell>
          <cell r="K20">
            <v>15</v>
          </cell>
          <cell r="R20">
            <v>0</v>
          </cell>
          <cell r="S20" t="str">
            <v>godz.9:00</v>
          </cell>
          <cell r="X20">
            <v>3</v>
          </cell>
          <cell r="Y20" t="str">
            <v>Beginners</v>
          </cell>
          <cell r="Z20" t="str">
            <v>D0008</v>
          </cell>
          <cell r="AA20" t="str">
            <v/>
          </cell>
          <cell r="AB20" t="str">
            <v>G0014</v>
          </cell>
          <cell r="AC20" t="str">
            <v/>
          </cell>
          <cell r="AD20" t="str">
            <v>D0008</v>
          </cell>
          <cell r="AE20" t="str">
            <v/>
          </cell>
          <cell r="AF20" t="str">
            <v>21:19,21:15</v>
          </cell>
          <cell r="AG20" t="str">
            <v>19:21,15:21</v>
          </cell>
          <cell r="AH20" t="str">
            <v/>
          </cell>
          <cell r="AI20">
            <v>21</v>
          </cell>
          <cell r="AJ20">
            <v>19</v>
          </cell>
          <cell r="AK20">
            <v>21</v>
          </cell>
          <cell r="AL20">
            <v>15</v>
          </cell>
          <cell r="AM20">
            <v>0</v>
          </cell>
          <cell r="AN20">
            <v>0</v>
          </cell>
        </row>
        <row r="21">
          <cell r="A21" t="str">
            <v/>
          </cell>
          <cell r="B21" t="str">
            <v>Patrycja DOMAŃSKA (Rzeszów)</v>
          </cell>
          <cell r="H21" t="str">
            <v>D0008</v>
          </cell>
          <cell r="K21" t="str">
            <v>G0014</v>
          </cell>
          <cell r="N21" t="str">
            <v>Eryk GŁOWACKI (Tarnowiec)</v>
          </cell>
        </row>
        <row r="22">
          <cell r="A22" t="str">
            <v/>
          </cell>
          <cell r="B22" t="str">
            <v/>
          </cell>
          <cell r="H22" t="str">
            <v/>
          </cell>
          <cell r="K22" t="str">
            <v/>
          </cell>
          <cell r="N22" t="str">
            <v/>
          </cell>
        </row>
        <row r="24">
          <cell r="B24" t="str">
            <v>zwycięzca(cy): 21:19,21:15</v>
          </cell>
          <cell r="K24" t="str">
            <v/>
          </cell>
        </row>
        <row r="25">
          <cell r="B25">
            <v>4</v>
          </cell>
          <cell r="C25" t="str">
            <v>dzień turnieju.</v>
          </cell>
          <cell r="I25" t="str">
            <v>Nr meczu</v>
          </cell>
          <cell r="N25" t="str">
            <v>Godz.</v>
          </cell>
          <cell r="R25" t="str">
            <v>S. prow.</v>
          </cell>
          <cell r="AF25" t="str">
            <v>wygrany</v>
          </cell>
          <cell r="AG25" t="str">
            <v>przegrany</v>
          </cell>
        </row>
        <row r="26">
          <cell r="B26" t="str">
            <v>Boisko</v>
          </cell>
          <cell r="C26" t="str">
            <v>Gra</v>
          </cell>
          <cell r="I26">
            <v>4</v>
          </cell>
          <cell r="N26" t="str">
            <v>rozp.</v>
          </cell>
          <cell r="P26" t="str">
            <v>zak.</v>
          </cell>
          <cell r="R26" t="str">
            <v>S. serw.</v>
          </cell>
        </row>
        <row r="27">
          <cell r="A27">
            <v>4</v>
          </cell>
          <cell r="C27" t="str">
            <v>Beginners</v>
          </cell>
          <cell r="H27">
            <v>21</v>
          </cell>
          <cell r="I27">
            <v>6</v>
          </cell>
          <cell r="J27">
            <v>21</v>
          </cell>
          <cell r="K27">
            <v>5</v>
          </cell>
          <cell r="R27">
            <v>0</v>
          </cell>
          <cell r="S27" t="str">
            <v>godz.9:00</v>
          </cell>
          <cell r="X27">
            <v>4</v>
          </cell>
          <cell r="Y27" t="str">
            <v>Beginners</v>
          </cell>
          <cell r="Z27" t="str">
            <v>M0026</v>
          </cell>
          <cell r="AA27" t="str">
            <v/>
          </cell>
          <cell r="AB27" t="str">
            <v>P0021</v>
          </cell>
          <cell r="AC27" t="str">
            <v/>
          </cell>
          <cell r="AD27" t="str">
            <v>M0026</v>
          </cell>
          <cell r="AE27" t="str">
            <v/>
          </cell>
          <cell r="AF27" t="str">
            <v>21:6,21:5</v>
          </cell>
          <cell r="AG27" t="str">
            <v>6:21,5:21</v>
          </cell>
          <cell r="AH27" t="str">
            <v/>
          </cell>
          <cell r="AI27">
            <v>21</v>
          </cell>
          <cell r="AJ27">
            <v>6</v>
          </cell>
          <cell r="AK27">
            <v>21</v>
          </cell>
          <cell r="AL27">
            <v>5</v>
          </cell>
          <cell r="AM27">
            <v>0</v>
          </cell>
          <cell r="AN27">
            <v>0</v>
          </cell>
        </row>
        <row r="28">
          <cell r="A28" t="str">
            <v/>
          </cell>
          <cell r="B28" t="str">
            <v>Wojciech MACHAJ (Mielec)</v>
          </cell>
          <cell r="H28" t="str">
            <v>M0026</v>
          </cell>
          <cell r="K28" t="str">
            <v>P0021</v>
          </cell>
          <cell r="N28" t="str">
            <v>Mikołaj POLAŃSKI (Rzeszów)</v>
          </cell>
        </row>
        <row r="29">
          <cell r="A29" t="str">
            <v/>
          </cell>
          <cell r="B29" t="str">
            <v/>
          </cell>
          <cell r="H29" t="str">
            <v/>
          </cell>
          <cell r="K29" t="str">
            <v/>
          </cell>
          <cell r="N29" t="str">
            <v/>
          </cell>
        </row>
        <row r="31">
          <cell r="B31" t="str">
            <v>zwycięzca(cy): 21:6,21:5</v>
          </cell>
          <cell r="K31" t="str">
            <v/>
          </cell>
        </row>
        <row r="32">
          <cell r="B32">
            <v>5</v>
          </cell>
          <cell r="C32" t="str">
            <v>dzień turnieju.</v>
          </cell>
          <cell r="I32" t="str">
            <v>Nr meczu</v>
          </cell>
          <cell r="N32" t="str">
            <v>Godz.</v>
          </cell>
          <cell r="R32" t="str">
            <v>S. prow.</v>
          </cell>
          <cell r="AF32" t="str">
            <v>wygrany</v>
          </cell>
          <cell r="AG32" t="str">
            <v>przegrany</v>
          </cell>
        </row>
        <row r="33">
          <cell r="B33" t="str">
            <v>Boisko</v>
          </cell>
          <cell r="C33" t="str">
            <v>Gra</v>
          </cell>
          <cell r="I33">
            <v>5</v>
          </cell>
          <cell r="N33" t="str">
            <v>rozp.</v>
          </cell>
          <cell r="P33" t="str">
            <v>zak.</v>
          </cell>
          <cell r="R33" t="str">
            <v>S. serw.</v>
          </cell>
        </row>
        <row r="34">
          <cell r="A34">
            <v>5</v>
          </cell>
          <cell r="C34" t="str">
            <v/>
          </cell>
          <cell r="H34">
            <v>21</v>
          </cell>
          <cell r="I34">
            <v>9</v>
          </cell>
          <cell r="J34">
            <v>21</v>
          </cell>
          <cell r="K34">
            <v>4</v>
          </cell>
          <cell r="R34">
            <v>0</v>
          </cell>
          <cell r="S34" t="str">
            <v>godz.9:20</v>
          </cell>
          <cell r="X34">
            <v>5</v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>21:9,21:4</v>
          </cell>
          <cell r="AG34" t="str">
            <v>9:21,4:21</v>
          </cell>
          <cell r="AH34" t="str">
            <v/>
          </cell>
          <cell r="AI34">
            <v>21</v>
          </cell>
          <cell r="AJ34">
            <v>9</v>
          </cell>
          <cell r="AK34">
            <v>21</v>
          </cell>
          <cell r="AL34">
            <v>4</v>
          </cell>
          <cell r="AM34">
            <v>0</v>
          </cell>
          <cell r="AN34">
            <v>0</v>
          </cell>
        </row>
        <row r="35">
          <cell r="A35" t="str">
            <v/>
          </cell>
          <cell r="B35" t="str">
            <v/>
          </cell>
          <cell r="H35" t="str">
            <v/>
          </cell>
          <cell r="K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H36" t="str">
            <v/>
          </cell>
          <cell r="K36" t="str">
            <v/>
          </cell>
          <cell r="N36" t="str">
            <v/>
          </cell>
        </row>
        <row r="38">
          <cell r="B38" t="str">
            <v/>
          </cell>
          <cell r="K38" t="str">
            <v/>
          </cell>
        </row>
        <row r="39">
          <cell r="B39">
            <v>6</v>
          </cell>
          <cell r="C39" t="str">
            <v>dzień turnieju.</v>
          </cell>
          <cell r="I39" t="str">
            <v>Nr meczu</v>
          </cell>
          <cell r="N39" t="str">
            <v>Godz.</v>
          </cell>
          <cell r="R39" t="str">
            <v>S. prow.</v>
          </cell>
          <cell r="AF39" t="str">
            <v>wygrany</v>
          </cell>
          <cell r="AG39" t="str">
            <v>przegrany</v>
          </cell>
        </row>
        <row r="40">
          <cell r="B40" t="str">
            <v>Boisko</v>
          </cell>
          <cell r="C40" t="str">
            <v>Gra</v>
          </cell>
          <cell r="I40">
            <v>6</v>
          </cell>
          <cell r="N40" t="str">
            <v>rozp.</v>
          </cell>
          <cell r="P40" t="str">
            <v>zak.</v>
          </cell>
          <cell r="R40" t="str">
            <v>S. serw.</v>
          </cell>
        </row>
        <row r="41">
          <cell r="A41">
            <v>6</v>
          </cell>
          <cell r="C41" t="str">
            <v>Beginners</v>
          </cell>
          <cell r="H41">
            <v>21</v>
          </cell>
          <cell r="I41">
            <v>12</v>
          </cell>
          <cell r="J41">
            <v>21</v>
          </cell>
          <cell r="K41">
            <v>5</v>
          </cell>
          <cell r="R41">
            <v>0</v>
          </cell>
          <cell r="S41" t="str">
            <v>godz.9:20</v>
          </cell>
          <cell r="X41">
            <v>6</v>
          </cell>
          <cell r="Y41" t="str">
            <v>Beginners</v>
          </cell>
          <cell r="Z41" t="str">
            <v>S0029</v>
          </cell>
          <cell r="AA41" t="str">
            <v/>
          </cell>
          <cell r="AB41" t="str">
            <v>W0013</v>
          </cell>
          <cell r="AC41" t="str">
            <v/>
          </cell>
          <cell r="AD41" t="str">
            <v>S0029</v>
          </cell>
          <cell r="AE41" t="str">
            <v/>
          </cell>
          <cell r="AF41" t="str">
            <v>21:12,21:5</v>
          </cell>
          <cell r="AG41" t="str">
            <v>12:21,5:21</v>
          </cell>
          <cell r="AH41" t="str">
            <v/>
          </cell>
          <cell r="AI41">
            <v>21</v>
          </cell>
          <cell r="AJ41">
            <v>12</v>
          </cell>
          <cell r="AK41">
            <v>21</v>
          </cell>
          <cell r="AL41">
            <v>5</v>
          </cell>
          <cell r="AM41">
            <v>0</v>
          </cell>
          <cell r="AN41">
            <v>0</v>
          </cell>
        </row>
        <row r="42">
          <cell r="A42" t="str">
            <v/>
          </cell>
          <cell r="B42" t="str">
            <v>Patryk STOLARZ (Mielec)</v>
          </cell>
          <cell r="H42" t="str">
            <v>S0029</v>
          </cell>
          <cell r="K42" t="str">
            <v>W0013</v>
          </cell>
          <cell r="N42" t="str">
            <v>Olaf WARNECKI (Rzeszów)</v>
          </cell>
        </row>
        <row r="43">
          <cell r="A43" t="str">
            <v/>
          </cell>
          <cell r="B43" t="str">
            <v/>
          </cell>
          <cell r="H43" t="str">
            <v/>
          </cell>
          <cell r="K43" t="str">
            <v/>
          </cell>
          <cell r="N43" t="str">
            <v/>
          </cell>
        </row>
        <row r="45">
          <cell r="B45" t="str">
            <v>zwycięzca(cy): 21:12,21:5</v>
          </cell>
          <cell r="K45" t="str">
            <v/>
          </cell>
        </row>
        <row r="46">
          <cell r="B46">
            <v>7</v>
          </cell>
          <cell r="C46" t="str">
            <v>dzień turnieju.</v>
          </cell>
          <cell r="I46" t="str">
            <v>Nr meczu</v>
          </cell>
          <cell r="N46" t="str">
            <v>Godz.</v>
          </cell>
          <cell r="R46" t="str">
            <v>S. prow.</v>
          </cell>
          <cell r="AF46" t="str">
            <v>wygrany</v>
          </cell>
          <cell r="AG46" t="str">
            <v>przegrany</v>
          </cell>
        </row>
        <row r="47">
          <cell r="B47" t="str">
            <v>Boisko</v>
          </cell>
          <cell r="C47" t="str">
            <v>Gra</v>
          </cell>
          <cell r="I47">
            <v>7</v>
          </cell>
          <cell r="N47" t="str">
            <v>rozp.</v>
          </cell>
          <cell r="P47" t="str">
            <v>zak.</v>
          </cell>
          <cell r="R47" t="str">
            <v>S. serw.</v>
          </cell>
        </row>
        <row r="48">
          <cell r="A48">
            <v>7</v>
          </cell>
          <cell r="C48" t="str">
            <v>Beginners</v>
          </cell>
          <cell r="H48">
            <v>22</v>
          </cell>
          <cell r="I48">
            <v>20</v>
          </cell>
          <cell r="J48">
            <v>21</v>
          </cell>
          <cell r="K48">
            <v>16</v>
          </cell>
          <cell r="R48">
            <v>0</v>
          </cell>
          <cell r="S48" t="str">
            <v>godz.9:20</v>
          </cell>
          <cell r="X48">
            <v>7</v>
          </cell>
          <cell r="Y48" t="str">
            <v>Beginners</v>
          </cell>
          <cell r="Z48" t="str">
            <v>H0006</v>
          </cell>
          <cell r="AA48" t="str">
            <v/>
          </cell>
          <cell r="AB48" t="str">
            <v>R0016</v>
          </cell>
          <cell r="AC48" t="str">
            <v/>
          </cell>
          <cell r="AD48" t="str">
            <v>H0006</v>
          </cell>
          <cell r="AE48" t="str">
            <v/>
          </cell>
          <cell r="AF48" t="str">
            <v>22:20,21:16</v>
          </cell>
          <cell r="AG48" t="str">
            <v>20:22,16:21</v>
          </cell>
          <cell r="AH48" t="str">
            <v/>
          </cell>
          <cell r="AI48">
            <v>22</v>
          </cell>
          <cell r="AJ48">
            <v>20</v>
          </cell>
          <cell r="AK48">
            <v>21</v>
          </cell>
          <cell r="AL48">
            <v>16</v>
          </cell>
          <cell r="AM48">
            <v>0</v>
          </cell>
          <cell r="AN48">
            <v>0</v>
          </cell>
        </row>
        <row r="49">
          <cell r="A49" t="str">
            <v/>
          </cell>
          <cell r="B49" t="str">
            <v>Natalia HAŁATA (Mielec)</v>
          </cell>
          <cell r="H49" t="str">
            <v>H0006</v>
          </cell>
          <cell r="K49" t="str">
            <v>R0016</v>
          </cell>
          <cell r="N49" t="str">
            <v>Oliwia RYBIŃSKA (Mielec)</v>
          </cell>
        </row>
        <row r="50">
          <cell r="A50" t="str">
            <v/>
          </cell>
          <cell r="B50" t="str">
            <v/>
          </cell>
          <cell r="H50" t="str">
            <v/>
          </cell>
          <cell r="K50" t="str">
            <v/>
          </cell>
          <cell r="N50" t="str">
            <v/>
          </cell>
        </row>
        <row r="52">
          <cell r="B52" t="str">
            <v>zwycięzca(cy): 22:20,21:16</v>
          </cell>
          <cell r="K52" t="str">
            <v/>
          </cell>
        </row>
        <row r="53">
          <cell r="B53">
            <v>8</v>
          </cell>
          <cell r="C53" t="str">
            <v>dzień turnieju.</v>
          </cell>
          <cell r="I53" t="str">
            <v>Nr meczu</v>
          </cell>
          <cell r="N53" t="str">
            <v>Godz.</v>
          </cell>
          <cell r="R53" t="str">
            <v>S. prow.</v>
          </cell>
          <cell r="AF53" t="str">
            <v>wygrany</v>
          </cell>
          <cell r="AG53" t="str">
            <v>przegrany</v>
          </cell>
        </row>
        <row r="54">
          <cell r="B54" t="str">
            <v>Boisko</v>
          </cell>
          <cell r="C54" t="str">
            <v>Gra</v>
          </cell>
          <cell r="I54">
            <v>8</v>
          </cell>
          <cell r="N54" t="str">
            <v>rozp.</v>
          </cell>
          <cell r="P54" t="str">
            <v>zak.</v>
          </cell>
          <cell r="R54" t="str">
            <v>S. serw.</v>
          </cell>
        </row>
        <row r="55">
          <cell r="A55">
            <v>8</v>
          </cell>
          <cell r="C55" t="str">
            <v>Beginners</v>
          </cell>
          <cell r="H55">
            <v>14</v>
          </cell>
          <cell r="I55">
            <v>21</v>
          </cell>
          <cell r="J55">
            <v>21</v>
          </cell>
          <cell r="K55">
            <v>13</v>
          </cell>
          <cell r="L55">
            <v>21</v>
          </cell>
          <cell r="M55">
            <v>17</v>
          </cell>
          <cell r="R55">
            <v>0</v>
          </cell>
          <cell r="S55" t="str">
            <v>godz.9:20</v>
          </cell>
          <cell r="X55">
            <v>8</v>
          </cell>
          <cell r="Y55" t="str">
            <v>Beginners</v>
          </cell>
          <cell r="Z55" t="str">
            <v>S0033</v>
          </cell>
          <cell r="AA55" t="str">
            <v/>
          </cell>
          <cell r="AB55" t="str">
            <v>G0014</v>
          </cell>
          <cell r="AC55" t="str">
            <v/>
          </cell>
          <cell r="AD55" t="str">
            <v>S0033</v>
          </cell>
          <cell r="AE55" t="str">
            <v/>
          </cell>
          <cell r="AF55" t="str">
            <v>14:21,21:13,21:17</v>
          </cell>
          <cell r="AG55" t="str">
            <v>21:14,13:21,17:21</v>
          </cell>
          <cell r="AH55" t="str">
            <v/>
          </cell>
          <cell r="AI55">
            <v>14</v>
          </cell>
          <cell r="AJ55">
            <v>21</v>
          </cell>
          <cell r="AK55">
            <v>21</v>
          </cell>
          <cell r="AL55">
            <v>13</v>
          </cell>
          <cell r="AM55">
            <v>21</v>
          </cell>
          <cell r="AN55">
            <v>17</v>
          </cell>
        </row>
        <row r="56">
          <cell r="A56" t="str">
            <v/>
          </cell>
          <cell r="B56" t="str">
            <v>Mikołaj STRAŻ (Mielec)</v>
          </cell>
          <cell r="H56" t="str">
            <v>S0033</v>
          </cell>
          <cell r="K56" t="str">
            <v>G0014</v>
          </cell>
          <cell r="N56" t="str">
            <v>Eryk GŁOWACKI (Tarnowiec)</v>
          </cell>
        </row>
        <row r="57">
          <cell r="A57" t="str">
            <v/>
          </cell>
          <cell r="B57" t="str">
            <v/>
          </cell>
          <cell r="H57" t="str">
            <v/>
          </cell>
          <cell r="K57" t="str">
            <v/>
          </cell>
          <cell r="N57" t="str">
            <v/>
          </cell>
        </row>
        <row r="59">
          <cell r="B59" t="str">
            <v>zwycięzca(cy): 14:21,21:13,21:17</v>
          </cell>
          <cell r="K59" t="str">
            <v/>
          </cell>
        </row>
        <row r="60">
          <cell r="B60">
            <v>9</v>
          </cell>
          <cell r="C60" t="str">
            <v>dzień turnieju.</v>
          </cell>
          <cell r="I60" t="str">
            <v>Nr meczu</v>
          </cell>
          <cell r="N60" t="str">
            <v>Godz.</v>
          </cell>
          <cell r="R60" t="str">
            <v>S. prow.</v>
          </cell>
          <cell r="AF60" t="str">
            <v>wygrany</v>
          </cell>
          <cell r="AG60" t="str">
            <v>przegrany</v>
          </cell>
        </row>
        <row r="61">
          <cell r="B61" t="str">
            <v>Boisko</v>
          </cell>
          <cell r="C61" t="str">
            <v>Gra</v>
          </cell>
          <cell r="I61">
            <v>9</v>
          </cell>
          <cell r="N61" t="str">
            <v>rozp.</v>
          </cell>
          <cell r="P61" t="str">
            <v>zak.</v>
          </cell>
          <cell r="R61" t="str">
            <v>S. serw.</v>
          </cell>
        </row>
        <row r="62">
          <cell r="A62">
            <v>9</v>
          </cell>
          <cell r="C62" t="str">
            <v>Beginners</v>
          </cell>
          <cell r="H62">
            <v>21</v>
          </cell>
          <cell r="I62">
            <v>14</v>
          </cell>
          <cell r="J62">
            <v>21</v>
          </cell>
          <cell r="K62">
            <v>10</v>
          </cell>
          <cell r="R62">
            <v>0</v>
          </cell>
          <cell r="S62" t="str">
            <v>godz.9:40</v>
          </cell>
          <cell r="X62">
            <v>9</v>
          </cell>
          <cell r="Y62" t="str">
            <v>Beginners</v>
          </cell>
          <cell r="Z62" t="str">
            <v>O0006</v>
          </cell>
          <cell r="AA62" t="str">
            <v/>
          </cell>
          <cell r="AB62" t="str">
            <v>P0021</v>
          </cell>
          <cell r="AC62" t="str">
            <v/>
          </cell>
          <cell r="AD62" t="str">
            <v>O0006</v>
          </cell>
          <cell r="AE62" t="str">
            <v/>
          </cell>
          <cell r="AF62" t="str">
            <v>21:14,21:10</v>
          </cell>
          <cell r="AG62" t="str">
            <v>14:21,10:21</v>
          </cell>
          <cell r="AH62" t="str">
            <v/>
          </cell>
          <cell r="AI62">
            <v>21</v>
          </cell>
          <cell r="AJ62">
            <v>14</v>
          </cell>
          <cell r="AK62">
            <v>21</v>
          </cell>
          <cell r="AL62">
            <v>10</v>
          </cell>
          <cell r="AM62">
            <v>0</v>
          </cell>
          <cell r="AN62">
            <v>0</v>
          </cell>
        </row>
        <row r="63">
          <cell r="A63" t="str">
            <v/>
          </cell>
          <cell r="B63" t="str">
            <v>Jessica ORZECHOWICZ (Tarnowiec)</v>
          </cell>
          <cell r="H63" t="str">
            <v>O0006</v>
          </cell>
          <cell r="K63" t="str">
            <v>P0021</v>
          </cell>
          <cell r="N63" t="str">
            <v>Mikołaj POLAŃSKI (Rzeszów)</v>
          </cell>
        </row>
        <row r="64">
          <cell r="A64" t="str">
            <v/>
          </cell>
          <cell r="B64" t="str">
            <v/>
          </cell>
          <cell r="H64" t="str">
            <v/>
          </cell>
          <cell r="K64" t="str">
            <v/>
          </cell>
          <cell r="N64" t="str">
            <v/>
          </cell>
        </row>
        <row r="66">
          <cell r="B66" t="str">
            <v>zwycięzca(cy): 21:14,21:10</v>
          </cell>
          <cell r="K66" t="str">
            <v/>
          </cell>
        </row>
        <row r="67">
          <cell r="B67">
            <v>10</v>
          </cell>
          <cell r="C67" t="str">
            <v>dzień turnieju.</v>
          </cell>
          <cell r="I67" t="str">
            <v>Nr meczu</v>
          </cell>
          <cell r="N67" t="str">
            <v>Godz.</v>
          </cell>
          <cell r="R67" t="str">
            <v>S. prow.</v>
          </cell>
          <cell r="AF67" t="str">
            <v>wygrany</v>
          </cell>
          <cell r="AG67" t="str">
            <v>przegrany</v>
          </cell>
        </row>
        <row r="68">
          <cell r="B68" t="str">
            <v>Boisko</v>
          </cell>
          <cell r="C68" t="str">
            <v>Gra</v>
          </cell>
          <cell r="I68">
            <v>10</v>
          </cell>
          <cell r="N68" t="str">
            <v>rozp.</v>
          </cell>
          <cell r="P68" t="str">
            <v>zak.</v>
          </cell>
          <cell r="R68" t="str">
            <v>S. serw.</v>
          </cell>
        </row>
        <row r="69">
          <cell r="A69">
            <v>10</v>
          </cell>
          <cell r="C69" t="str">
            <v>Beginners</v>
          </cell>
          <cell r="H69">
            <v>14</v>
          </cell>
          <cell r="I69">
            <v>21</v>
          </cell>
          <cell r="J69">
            <v>7</v>
          </cell>
          <cell r="K69">
            <v>21</v>
          </cell>
          <cell r="R69">
            <v>0</v>
          </cell>
          <cell r="S69" t="str">
            <v>godz.9:40</v>
          </cell>
          <cell r="X69">
            <v>10</v>
          </cell>
          <cell r="Y69" t="str">
            <v>Beginners</v>
          </cell>
          <cell r="Z69" t="str">
            <v>s0032</v>
          </cell>
          <cell r="AA69" t="str">
            <v/>
          </cell>
          <cell r="AB69" t="str">
            <v>S0035</v>
          </cell>
          <cell r="AC69" t="str">
            <v/>
          </cell>
          <cell r="AD69" t="str">
            <v>S0035</v>
          </cell>
          <cell r="AE69" t="str">
            <v/>
          </cell>
          <cell r="AF69" t="str">
            <v>21:14,21:7</v>
          </cell>
          <cell r="AG69" t="str">
            <v>14:21,7:21</v>
          </cell>
          <cell r="AH69" t="str">
            <v/>
          </cell>
          <cell r="AI69">
            <v>14</v>
          </cell>
          <cell r="AJ69">
            <v>21</v>
          </cell>
          <cell r="AK69">
            <v>7</v>
          </cell>
          <cell r="AL69">
            <v>21</v>
          </cell>
          <cell r="AM69">
            <v>0</v>
          </cell>
          <cell r="AN69">
            <v>0</v>
          </cell>
        </row>
        <row r="70">
          <cell r="A70" t="str">
            <v/>
          </cell>
          <cell r="B70" t="str">
            <v>Łukasz SZANTULA (Mielec)</v>
          </cell>
          <cell r="H70" t="str">
            <v>s0032</v>
          </cell>
          <cell r="K70" t="str">
            <v>S0035</v>
          </cell>
          <cell r="N70" t="str">
            <v>Kuba SITEK (Rzeszów)</v>
          </cell>
        </row>
        <row r="71">
          <cell r="A71" t="str">
            <v/>
          </cell>
          <cell r="B71" t="str">
            <v/>
          </cell>
          <cell r="H71" t="str">
            <v/>
          </cell>
          <cell r="K71" t="str">
            <v/>
          </cell>
          <cell r="N71" t="str">
            <v/>
          </cell>
        </row>
        <row r="73">
          <cell r="B73" t="str">
            <v/>
          </cell>
          <cell r="K73" t="str">
            <v>zwycięzca(cy): 21:14,21:7</v>
          </cell>
        </row>
        <row r="74">
          <cell r="B74">
            <v>11</v>
          </cell>
          <cell r="C74" t="str">
            <v>dzień turnieju.</v>
          </cell>
          <cell r="I74" t="str">
            <v>Nr meczu</v>
          </cell>
          <cell r="N74" t="str">
            <v>Godz.</v>
          </cell>
          <cell r="R74" t="str">
            <v>S. prow.</v>
          </cell>
          <cell r="AF74" t="str">
            <v>wygrany</v>
          </cell>
          <cell r="AG74" t="str">
            <v>przegrany</v>
          </cell>
        </row>
        <row r="75">
          <cell r="B75" t="str">
            <v>Boisko</v>
          </cell>
          <cell r="C75" t="str">
            <v>Gra</v>
          </cell>
          <cell r="I75">
            <v>11</v>
          </cell>
          <cell r="N75" t="str">
            <v>rozp.</v>
          </cell>
          <cell r="P75" t="str">
            <v>zak.</v>
          </cell>
          <cell r="R75" t="str">
            <v>S. serw.</v>
          </cell>
        </row>
        <row r="76">
          <cell r="A76">
            <v>11</v>
          </cell>
          <cell r="C76" t="str">
            <v>Beginners</v>
          </cell>
          <cell r="H76">
            <v>19</v>
          </cell>
          <cell r="I76">
            <v>21</v>
          </cell>
          <cell r="J76">
            <v>23</v>
          </cell>
          <cell r="K76">
            <v>21</v>
          </cell>
          <cell r="L76">
            <v>12</v>
          </cell>
          <cell r="M76">
            <v>21</v>
          </cell>
          <cell r="R76">
            <v>0</v>
          </cell>
          <cell r="S76" t="str">
            <v>godz.9:40</v>
          </cell>
          <cell r="X76">
            <v>11</v>
          </cell>
          <cell r="Y76" t="str">
            <v>Beginners</v>
          </cell>
          <cell r="Z76" t="str">
            <v>R0016</v>
          </cell>
          <cell r="AA76" t="str">
            <v/>
          </cell>
          <cell r="AB76" t="str">
            <v>W0013</v>
          </cell>
          <cell r="AC76" t="str">
            <v/>
          </cell>
          <cell r="AD76" t="str">
            <v>W0013</v>
          </cell>
          <cell r="AE76" t="str">
            <v/>
          </cell>
          <cell r="AF76" t="str">
            <v>21:19,21:23,21:12</v>
          </cell>
          <cell r="AG76" t="str">
            <v>19:21,23:21,12:21</v>
          </cell>
          <cell r="AH76" t="str">
            <v/>
          </cell>
          <cell r="AI76">
            <v>19</v>
          </cell>
          <cell r="AJ76">
            <v>21</v>
          </cell>
          <cell r="AK76">
            <v>23</v>
          </cell>
          <cell r="AL76">
            <v>21</v>
          </cell>
          <cell r="AM76">
            <v>12</v>
          </cell>
          <cell r="AN76">
            <v>21</v>
          </cell>
        </row>
        <row r="77">
          <cell r="A77" t="str">
            <v/>
          </cell>
          <cell r="B77" t="str">
            <v>Oliwia RYBIŃSKA (Mielec)</v>
          </cell>
          <cell r="H77" t="str">
            <v>R0016</v>
          </cell>
          <cell r="K77" t="str">
            <v>W0013</v>
          </cell>
          <cell r="N77" t="str">
            <v>Olaf WARNECKI (Rzeszów)</v>
          </cell>
        </row>
        <row r="78">
          <cell r="A78" t="str">
            <v/>
          </cell>
          <cell r="B78" t="str">
            <v/>
          </cell>
          <cell r="H78" t="str">
            <v/>
          </cell>
          <cell r="K78" t="str">
            <v/>
          </cell>
          <cell r="N78" t="str">
            <v/>
          </cell>
        </row>
        <row r="80">
          <cell r="B80" t="str">
            <v/>
          </cell>
          <cell r="K80" t="str">
            <v>zwycięzca(cy): 21:19,21:23,21:12</v>
          </cell>
        </row>
        <row r="81">
          <cell r="B81">
            <v>12</v>
          </cell>
          <cell r="C81" t="str">
            <v>dzień turnieju.</v>
          </cell>
          <cell r="I81" t="str">
            <v>Nr meczu</v>
          </cell>
          <cell r="N81" t="str">
            <v>Godz.</v>
          </cell>
          <cell r="R81" t="str">
            <v>S. prow.</v>
          </cell>
          <cell r="AF81" t="str">
            <v>wygrany</v>
          </cell>
          <cell r="AG81" t="str">
            <v>przegrany</v>
          </cell>
        </row>
        <row r="82">
          <cell r="B82" t="str">
            <v>Boisko</v>
          </cell>
          <cell r="C82" t="str">
            <v>Gra</v>
          </cell>
          <cell r="I82">
            <v>12</v>
          </cell>
          <cell r="N82" t="str">
            <v>rozp.</v>
          </cell>
          <cell r="P82" t="str">
            <v>zak.</v>
          </cell>
          <cell r="R82" t="str">
            <v>S. serw.</v>
          </cell>
        </row>
        <row r="83">
          <cell r="A83">
            <v>12</v>
          </cell>
          <cell r="C83" t="str">
            <v>Beginners</v>
          </cell>
          <cell r="H83">
            <v>21</v>
          </cell>
          <cell r="I83">
            <v>6</v>
          </cell>
          <cell r="J83">
            <v>21</v>
          </cell>
          <cell r="K83">
            <v>8</v>
          </cell>
          <cell r="R83">
            <v>0</v>
          </cell>
          <cell r="S83" t="str">
            <v>godz.9:40</v>
          </cell>
          <cell r="X83">
            <v>12</v>
          </cell>
          <cell r="Y83" t="str">
            <v>Beginners</v>
          </cell>
          <cell r="Z83" t="str">
            <v>S0029</v>
          </cell>
          <cell r="AA83" t="str">
            <v/>
          </cell>
          <cell r="AB83" t="str">
            <v>H0006</v>
          </cell>
          <cell r="AC83" t="str">
            <v/>
          </cell>
          <cell r="AD83" t="str">
            <v>S0029</v>
          </cell>
          <cell r="AE83" t="str">
            <v/>
          </cell>
          <cell r="AF83" t="str">
            <v>21:6,21:8</v>
          </cell>
          <cell r="AG83" t="str">
            <v>6:21,8:21</v>
          </cell>
          <cell r="AH83" t="str">
            <v/>
          </cell>
          <cell r="AI83">
            <v>21</v>
          </cell>
          <cell r="AJ83">
            <v>6</v>
          </cell>
          <cell r="AK83">
            <v>21</v>
          </cell>
          <cell r="AL83">
            <v>8</v>
          </cell>
          <cell r="AM83">
            <v>0</v>
          </cell>
          <cell r="AN83">
            <v>0</v>
          </cell>
        </row>
        <row r="84">
          <cell r="A84" t="str">
            <v/>
          </cell>
          <cell r="B84" t="str">
            <v>Patryk STOLARZ (Mielec)</v>
          </cell>
          <cell r="H84" t="str">
            <v>S0029</v>
          </cell>
          <cell r="K84" t="str">
            <v>H0006</v>
          </cell>
          <cell r="N84" t="str">
            <v>Natalia HAŁATA (Mielec)</v>
          </cell>
        </row>
        <row r="85">
          <cell r="A85" t="str">
            <v/>
          </cell>
          <cell r="B85" t="str">
            <v/>
          </cell>
          <cell r="H85" t="str">
            <v/>
          </cell>
          <cell r="K85" t="str">
            <v/>
          </cell>
          <cell r="N85" t="str">
            <v/>
          </cell>
        </row>
        <row r="87">
          <cell r="B87" t="str">
            <v>zwycięzca(cy): 21:6,21:8</v>
          </cell>
          <cell r="K87" t="str">
            <v/>
          </cell>
        </row>
        <row r="88">
          <cell r="B88">
            <v>13</v>
          </cell>
          <cell r="C88" t="str">
            <v>dzień turnieju.</v>
          </cell>
          <cell r="I88" t="str">
            <v>Nr meczu</v>
          </cell>
          <cell r="N88" t="str">
            <v>Godz.</v>
          </cell>
          <cell r="R88" t="str">
            <v>S. prow.</v>
          </cell>
          <cell r="AF88" t="str">
            <v>wygrany</v>
          </cell>
          <cell r="AG88" t="str">
            <v>przegrany</v>
          </cell>
        </row>
        <row r="89">
          <cell r="B89" t="str">
            <v>Boisko</v>
          </cell>
          <cell r="C89" t="str">
            <v>Gra</v>
          </cell>
          <cell r="I89">
            <v>13</v>
          </cell>
          <cell r="N89" t="str">
            <v>rozp.</v>
          </cell>
          <cell r="P89" t="str">
            <v>zak.</v>
          </cell>
          <cell r="R89" t="str">
            <v>S. serw.</v>
          </cell>
        </row>
        <row r="90">
          <cell r="A90">
            <v>13</v>
          </cell>
          <cell r="C90" t="str">
            <v>Beginners</v>
          </cell>
          <cell r="H90">
            <v>21</v>
          </cell>
          <cell r="I90">
            <v>10</v>
          </cell>
          <cell r="J90">
            <v>21</v>
          </cell>
          <cell r="K90">
            <v>3</v>
          </cell>
          <cell r="R90">
            <v>0</v>
          </cell>
          <cell r="S90" t="str">
            <v>godz.10:00</v>
          </cell>
          <cell r="X90">
            <v>13</v>
          </cell>
          <cell r="Y90" t="str">
            <v>Beginners</v>
          </cell>
          <cell r="Z90" t="str">
            <v>D0008</v>
          </cell>
          <cell r="AA90" t="str">
            <v/>
          </cell>
          <cell r="AB90" t="str">
            <v>S0033</v>
          </cell>
          <cell r="AC90" t="str">
            <v/>
          </cell>
          <cell r="AD90" t="str">
            <v>D0008</v>
          </cell>
          <cell r="AE90" t="str">
            <v/>
          </cell>
          <cell r="AF90" t="str">
            <v>21:10,21:3</v>
          </cell>
          <cell r="AG90" t="str">
            <v>10:21,3:21</v>
          </cell>
          <cell r="AH90" t="str">
            <v/>
          </cell>
          <cell r="AI90">
            <v>21</v>
          </cell>
          <cell r="AJ90">
            <v>10</v>
          </cell>
          <cell r="AK90">
            <v>21</v>
          </cell>
          <cell r="AL90">
            <v>3</v>
          </cell>
          <cell r="AM90">
            <v>0</v>
          </cell>
          <cell r="AN90">
            <v>0</v>
          </cell>
        </row>
        <row r="91">
          <cell r="A91" t="str">
            <v/>
          </cell>
          <cell r="B91" t="str">
            <v>Patrycja DOMAŃSKA (Rzeszów)</v>
          </cell>
          <cell r="H91" t="str">
            <v>D0008</v>
          </cell>
          <cell r="K91" t="str">
            <v>S0033</v>
          </cell>
          <cell r="N91" t="str">
            <v>Mikołaj STRAŻ (Mielec)</v>
          </cell>
        </row>
        <row r="92">
          <cell r="A92" t="str">
            <v/>
          </cell>
          <cell r="B92" t="str">
            <v/>
          </cell>
          <cell r="H92" t="str">
            <v/>
          </cell>
          <cell r="K92" t="str">
            <v/>
          </cell>
          <cell r="N92" t="str">
            <v/>
          </cell>
        </row>
        <row r="94">
          <cell r="B94" t="str">
            <v>zwycięzca(cy): 21:10,21:3</v>
          </cell>
          <cell r="K94" t="str">
            <v/>
          </cell>
        </row>
        <row r="95">
          <cell r="B95">
            <v>14</v>
          </cell>
          <cell r="C95" t="str">
            <v>dzień turnieju.</v>
          </cell>
          <cell r="I95" t="str">
            <v>Nr meczu</v>
          </cell>
          <cell r="N95" t="str">
            <v>Godz.</v>
          </cell>
          <cell r="R95" t="str">
            <v>S. prow.</v>
          </cell>
          <cell r="AF95" t="str">
            <v>wygrany</v>
          </cell>
          <cell r="AG95" t="str">
            <v>przegrany</v>
          </cell>
        </row>
        <row r="96">
          <cell r="B96" t="str">
            <v>Boisko</v>
          </cell>
          <cell r="C96" t="str">
            <v>Gra</v>
          </cell>
          <cell r="I96">
            <v>14</v>
          </cell>
          <cell r="N96" t="str">
            <v>rozp.</v>
          </cell>
          <cell r="P96" t="str">
            <v>zak.</v>
          </cell>
          <cell r="R96" t="str">
            <v>S. serw.</v>
          </cell>
        </row>
        <row r="97">
          <cell r="A97">
            <v>14</v>
          </cell>
          <cell r="C97" t="str">
            <v>Beginners</v>
          </cell>
          <cell r="H97">
            <v>15</v>
          </cell>
          <cell r="I97">
            <v>21</v>
          </cell>
          <cell r="J97">
            <v>20</v>
          </cell>
          <cell r="K97">
            <v>22</v>
          </cell>
          <cell r="R97">
            <v>0</v>
          </cell>
          <cell r="S97" t="str">
            <v>godz.10:00</v>
          </cell>
          <cell r="X97">
            <v>14</v>
          </cell>
          <cell r="Y97" t="str">
            <v>Beginners</v>
          </cell>
          <cell r="Z97" t="str">
            <v>M0026</v>
          </cell>
          <cell r="AA97" t="str">
            <v/>
          </cell>
          <cell r="AB97" t="str">
            <v>O0006</v>
          </cell>
          <cell r="AC97" t="str">
            <v/>
          </cell>
          <cell r="AD97" t="str">
            <v>O0006</v>
          </cell>
          <cell r="AE97" t="str">
            <v/>
          </cell>
          <cell r="AF97" t="str">
            <v>21:15,22:20</v>
          </cell>
          <cell r="AG97" t="str">
            <v>15:21,20:22</v>
          </cell>
          <cell r="AH97" t="str">
            <v/>
          </cell>
          <cell r="AI97">
            <v>15</v>
          </cell>
          <cell r="AJ97">
            <v>21</v>
          </cell>
          <cell r="AK97">
            <v>20</v>
          </cell>
          <cell r="AL97">
            <v>22</v>
          </cell>
          <cell r="AM97">
            <v>0</v>
          </cell>
          <cell r="AN97">
            <v>0</v>
          </cell>
        </row>
        <row r="98">
          <cell r="A98" t="str">
            <v/>
          </cell>
          <cell r="B98" t="str">
            <v>Wojciech MACHAJ (Mielec)</v>
          </cell>
          <cell r="H98" t="str">
            <v>M0026</v>
          </cell>
          <cell r="K98" t="str">
            <v>O0006</v>
          </cell>
          <cell r="N98" t="str">
            <v>Jessica ORZECHOWICZ (Tarnowiec)</v>
          </cell>
        </row>
        <row r="99">
          <cell r="A99" t="str">
            <v/>
          </cell>
          <cell r="B99" t="str">
            <v/>
          </cell>
          <cell r="H99" t="str">
            <v/>
          </cell>
          <cell r="K99" t="str">
            <v/>
          </cell>
          <cell r="N99" t="str">
            <v/>
          </cell>
        </row>
        <row r="101">
          <cell r="B101" t="str">
            <v/>
          </cell>
          <cell r="K101" t="str">
            <v>zwycięzca(cy): 21:15,22:20</v>
          </cell>
        </row>
        <row r="102">
          <cell r="B102">
            <v>15</v>
          </cell>
          <cell r="C102" t="str">
            <v>dzień turnieju.</v>
          </cell>
          <cell r="I102" t="str">
            <v>Nr meczu</v>
          </cell>
          <cell r="N102" t="str">
            <v>Godz.</v>
          </cell>
          <cell r="R102" t="str">
            <v>S. prow.</v>
          </cell>
          <cell r="AF102" t="str">
            <v>wygrany</v>
          </cell>
          <cell r="AG102" t="str">
            <v>przegrany</v>
          </cell>
        </row>
        <row r="103">
          <cell r="B103" t="str">
            <v>Boisko</v>
          </cell>
          <cell r="C103" t="str">
            <v>Gra</v>
          </cell>
          <cell r="I103">
            <v>15</v>
          </cell>
          <cell r="N103" t="str">
            <v>rozp.</v>
          </cell>
          <cell r="P103" t="str">
            <v>zak.</v>
          </cell>
          <cell r="R103" t="str">
            <v>S. serw.</v>
          </cell>
        </row>
        <row r="104">
          <cell r="A104">
            <v>15</v>
          </cell>
          <cell r="C104" t="str">
            <v>Beginners</v>
          </cell>
          <cell r="H104">
            <v>21</v>
          </cell>
          <cell r="I104">
            <v>11</v>
          </cell>
          <cell r="J104">
            <v>21</v>
          </cell>
          <cell r="K104">
            <v>17</v>
          </cell>
          <cell r="R104">
            <v>0</v>
          </cell>
          <cell r="S104" t="str">
            <v>godz.10:00</v>
          </cell>
          <cell r="X104">
            <v>15</v>
          </cell>
          <cell r="Y104" t="str">
            <v>Beginners</v>
          </cell>
          <cell r="Z104" t="str">
            <v>s0028</v>
          </cell>
          <cell r="AA104" t="str">
            <v/>
          </cell>
          <cell r="AB104" t="str">
            <v>S0035</v>
          </cell>
          <cell r="AC104" t="str">
            <v/>
          </cell>
          <cell r="AD104" t="str">
            <v>s0028</v>
          </cell>
          <cell r="AE104" t="str">
            <v/>
          </cell>
          <cell r="AF104" t="str">
            <v>21:11,21:17</v>
          </cell>
          <cell r="AG104" t="str">
            <v>11:21,17:21</v>
          </cell>
          <cell r="AH104" t="str">
            <v/>
          </cell>
          <cell r="AI104">
            <v>21</v>
          </cell>
          <cell r="AJ104">
            <v>11</v>
          </cell>
          <cell r="AK104">
            <v>21</v>
          </cell>
          <cell r="AL104">
            <v>17</v>
          </cell>
          <cell r="AM104">
            <v>0</v>
          </cell>
          <cell r="AN104">
            <v>0</v>
          </cell>
        </row>
        <row r="105">
          <cell r="A105" t="str">
            <v/>
          </cell>
          <cell r="B105" t="str">
            <v>Tobiasz SAŁAGAJ (Mielec)</v>
          </cell>
          <cell r="H105" t="str">
            <v>s0028</v>
          </cell>
          <cell r="K105" t="str">
            <v>S0035</v>
          </cell>
          <cell r="N105" t="str">
            <v>Kuba SITEK (Rzeszów)</v>
          </cell>
        </row>
        <row r="106">
          <cell r="A106" t="str">
            <v/>
          </cell>
          <cell r="B106" t="str">
            <v/>
          </cell>
          <cell r="H106" t="str">
            <v/>
          </cell>
          <cell r="K106" t="str">
            <v/>
          </cell>
          <cell r="N106" t="str">
            <v/>
          </cell>
        </row>
        <row r="108">
          <cell r="B108" t="str">
            <v>zwycięzca(cy): 21:11,21:17</v>
          </cell>
          <cell r="K108" t="str">
            <v/>
          </cell>
        </row>
        <row r="109">
          <cell r="B109">
            <v>16</v>
          </cell>
          <cell r="C109" t="str">
            <v>dzień turnieju.</v>
          </cell>
          <cell r="I109" t="str">
            <v>Nr meczu</v>
          </cell>
          <cell r="N109" t="str">
            <v>Godz.</v>
          </cell>
          <cell r="R109" t="str">
            <v>S. prow.</v>
          </cell>
          <cell r="AF109" t="str">
            <v>wygrany</v>
          </cell>
          <cell r="AG109" t="str">
            <v>przegrany</v>
          </cell>
        </row>
        <row r="110">
          <cell r="B110" t="str">
            <v>Boisko</v>
          </cell>
          <cell r="C110" t="str">
            <v>Gra</v>
          </cell>
          <cell r="I110">
            <v>16</v>
          </cell>
          <cell r="N110" t="str">
            <v>rozp.</v>
          </cell>
          <cell r="P110" t="str">
            <v>zak.</v>
          </cell>
          <cell r="R110" t="str">
            <v>S. serw.</v>
          </cell>
        </row>
        <row r="111">
          <cell r="A111">
            <v>16</v>
          </cell>
          <cell r="C111" t="str">
            <v>Beginners</v>
          </cell>
          <cell r="H111">
            <v>21</v>
          </cell>
          <cell r="I111">
            <v>16</v>
          </cell>
          <cell r="J111">
            <v>21</v>
          </cell>
          <cell r="K111">
            <v>11</v>
          </cell>
          <cell r="R111">
            <v>0</v>
          </cell>
          <cell r="S111" t="str">
            <v>godz.10:00</v>
          </cell>
          <cell r="X111">
            <v>16</v>
          </cell>
          <cell r="Y111" t="str">
            <v>Beginners</v>
          </cell>
          <cell r="Z111" t="str">
            <v>S0029</v>
          </cell>
          <cell r="AA111" t="str">
            <v/>
          </cell>
          <cell r="AB111" t="str">
            <v>S0035</v>
          </cell>
          <cell r="AC111" t="str">
            <v/>
          </cell>
          <cell r="AD111" t="str">
            <v>S0029</v>
          </cell>
          <cell r="AE111" t="str">
            <v/>
          </cell>
          <cell r="AF111" t="str">
            <v>21:16,21:11</v>
          </cell>
          <cell r="AG111" t="str">
            <v>16:21,11:21</v>
          </cell>
          <cell r="AH111" t="str">
            <v/>
          </cell>
          <cell r="AI111">
            <v>21</v>
          </cell>
          <cell r="AJ111">
            <v>16</v>
          </cell>
          <cell r="AK111">
            <v>21</v>
          </cell>
          <cell r="AL111">
            <v>11</v>
          </cell>
          <cell r="AM111">
            <v>0</v>
          </cell>
          <cell r="AN111">
            <v>0</v>
          </cell>
        </row>
        <row r="112">
          <cell r="A112" t="str">
            <v/>
          </cell>
          <cell r="B112" t="str">
            <v>Patryk STOLARZ (Mielec)</v>
          </cell>
          <cell r="H112" t="str">
            <v>S0029</v>
          </cell>
          <cell r="K112" t="str">
            <v>S0035</v>
          </cell>
          <cell r="N112" t="str">
            <v>Kuba SITEK (Rzeszów)</v>
          </cell>
        </row>
        <row r="113">
          <cell r="A113" t="str">
            <v/>
          </cell>
          <cell r="B113" t="str">
            <v/>
          </cell>
          <cell r="H113" t="str">
            <v/>
          </cell>
          <cell r="K113" t="str">
            <v/>
          </cell>
          <cell r="N113" t="str">
            <v/>
          </cell>
        </row>
        <row r="115">
          <cell r="B115" t="str">
            <v>zwycięzca(cy): 21:16,21:11</v>
          </cell>
          <cell r="K115" t="str">
            <v/>
          </cell>
        </row>
        <row r="116">
          <cell r="B116">
            <v>17</v>
          </cell>
          <cell r="C116" t="str">
            <v>dzień turnieju.</v>
          </cell>
          <cell r="I116" t="str">
            <v>Nr meczu</v>
          </cell>
          <cell r="N116" t="str">
            <v>Godz.</v>
          </cell>
          <cell r="R116" t="str">
            <v>S. prow.</v>
          </cell>
          <cell r="AF116" t="str">
            <v>wygrany</v>
          </cell>
          <cell r="AG116" t="str">
            <v>przegrany</v>
          </cell>
        </row>
        <row r="117">
          <cell r="B117" t="str">
            <v>Boisko</v>
          </cell>
          <cell r="C117" t="str">
            <v>Gra</v>
          </cell>
          <cell r="I117">
            <v>17</v>
          </cell>
          <cell r="N117" t="str">
            <v>rozp.</v>
          </cell>
          <cell r="P117" t="str">
            <v>zak.</v>
          </cell>
          <cell r="R117" t="str">
            <v>S. serw.</v>
          </cell>
        </row>
        <row r="118">
          <cell r="A118">
            <v>17</v>
          </cell>
          <cell r="C118" t="str">
            <v>Beginners</v>
          </cell>
          <cell r="H118">
            <v>21</v>
          </cell>
          <cell r="I118">
            <v>12</v>
          </cell>
          <cell r="J118">
            <v>22</v>
          </cell>
          <cell r="K118">
            <v>20</v>
          </cell>
          <cell r="R118">
            <v>0</v>
          </cell>
          <cell r="S118" t="str">
            <v>godz.10:20</v>
          </cell>
          <cell r="X118">
            <v>17</v>
          </cell>
          <cell r="Y118" t="str">
            <v>Beginners</v>
          </cell>
          <cell r="Z118" t="str">
            <v>D0008</v>
          </cell>
          <cell r="AA118" t="str">
            <v/>
          </cell>
          <cell r="AB118" t="str">
            <v>M0026</v>
          </cell>
          <cell r="AC118" t="str">
            <v/>
          </cell>
          <cell r="AD118" t="str">
            <v>D0008</v>
          </cell>
          <cell r="AE118" t="str">
            <v/>
          </cell>
          <cell r="AF118" t="str">
            <v>21:12,22:20</v>
          </cell>
          <cell r="AG118" t="str">
            <v>12:21,20:22</v>
          </cell>
          <cell r="AH118" t="str">
            <v/>
          </cell>
          <cell r="AI118">
            <v>21</v>
          </cell>
          <cell r="AJ118">
            <v>12</v>
          </cell>
          <cell r="AK118">
            <v>22</v>
          </cell>
          <cell r="AL118">
            <v>20</v>
          </cell>
          <cell r="AM118">
            <v>0</v>
          </cell>
          <cell r="AN118">
            <v>0</v>
          </cell>
        </row>
        <row r="119">
          <cell r="A119" t="str">
            <v/>
          </cell>
          <cell r="B119" t="str">
            <v>Patrycja DOMAŃSKA (Rzeszów)</v>
          </cell>
          <cell r="H119" t="str">
            <v>D0008</v>
          </cell>
          <cell r="K119" t="str">
            <v>M0026</v>
          </cell>
          <cell r="N119" t="str">
            <v>Wojciech MACHAJ (Mielec)</v>
          </cell>
        </row>
        <row r="120">
          <cell r="A120" t="str">
            <v/>
          </cell>
          <cell r="B120" t="str">
            <v/>
          </cell>
          <cell r="H120" t="str">
            <v/>
          </cell>
          <cell r="K120" t="str">
            <v/>
          </cell>
          <cell r="N120" t="str">
            <v/>
          </cell>
        </row>
        <row r="122">
          <cell r="B122" t="str">
            <v>zwycięzca(cy): 21:12,22:20</v>
          </cell>
          <cell r="K122" t="str">
            <v/>
          </cell>
        </row>
        <row r="123">
          <cell r="B123">
            <v>18</v>
          </cell>
          <cell r="C123" t="str">
            <v>dzień turnieju.</v>
          </cell>
          <cell r="I123" t="str">
            <v>Nr meczu</v>
          </cell>
          <cell r="N123" t="str">
            <v>Godz.</v>
          </cell>
          <cell r="R123" t="str">
            <v>S. prow.</v>
          </cell>
          <cell r="AF123" t="str">
            <v>wygrany</v>
          </cell>
          <cell r="AG123" t="str">
            <v>przegrany</v>
          </cell>
        </row>
        <row r="124">
          <cell r="B124" t="str">
            <v>Boisko</v>
          </cell>
          <cell r="C124" t="str">
            <v>Gra</v>
          </cell>
          <cell r="I124">
            <v>18</v>
          </cell>
          <cell r="N124" t="str">
            <v>rozp.</v>
          </cell>
          <cell r="P124" t="str">
            <v>zak.</v>
          </cell>
          <cell r="R124" t="str">
            <v>S. serw.</v>
          </cell>
        </row>
        <row r="125">
          <cell r="A125">
            <v>18</v>
          </cell>
          <cell r="C125" t="str">
            <v>Beginners</v>
          </cell>
          <cell r="H125">
            <v>20</v>
          </cell>
          <cell r="I125">
            <v>22</v>
          </cell>
          <cell r="J125">
            <v>11</v>
          </cell>
          <cell r="K125">
            <v>21</v>
          </cell>
          <cell r="R125">
            <v>0</v>
          </cell>
          <cell r="S125" t="str">
            <v>godz.10:20</v>
          </cell>
          <cell r="X125">
            <v>18</v>
          </cell>
          <cell r="Y125" t="str">
            <v>Beginners</v>
          </cell>
          <cell r="Z125" t="str">
            <v>S0033</v>
          </cell>
          <cell r="AA125" t="str">
            <v/>
          </cell>
          <cell r="AB125" t="str">
            <v>O0006</v>
          </cell>
          <cell r="AC125" t="str">
            <v/>
          </cell>
          <cell r="AD125" t="str">
            <v>O0006</v>
          </cell>
          <cell r="AE125" t="str">
            <v/>
          </cell>
          <cell r="AF125" t="str">
            <v>22:20,21:11</v>
          </cell>
          <cell r="AG125" t="str">
            <v>20:22,11:21</v>
          </cell>
          <cell r="AH125" t="str">
            <v/>
          </cell>
          <cell r="AI125">
            <v>20</v>
          </cell>
          <cell r="AJ125">
            <v>22</v>
          </cell>
          <cell r="AK125">
            <v>11</v>
          </cell>
          <cell r="AL125">
            <v>21</v>
          </cell>
          <cell r="AM125">
            <v>0</v>
          </cell>
          <cell r="AN125">
            <v>0</v>
          </cell>
        </row>
        <row r="126">
          <cell r="A126" t="str">
            <v/>
          </cell>
          <cell r="B126" t="str">
            <v>Mikołaj STRAŻ (Mielec)</v>
          </cell>
          <cell r="H126" t="str">
            <v>S0033</v>
          </cell>
          <cell r="K126" t="str">
            <v>O0006</v>
          </cell>
          <cell r="N126" t="str">
            <v>Jessica ORZECHOWICZ (Tarnowiec)</v>
          </cell>
        </row>
        <row r="127">
          <cell r="A127" t="str">
            <v/>
          </cell>
          <cell r="B127" t="str">
            <v/>
          </cell>
          <cell r="H127" t="str">
            <v/>
          </cell>
          <cell r="K127" t="str">
            <v/>
          </cell>
          <cell r="N127" t="str">
            <v/>
          </cell>
        </row>
        <row r="129">
          <cell r="B129" t="str">
            <v/>
          </cell>
          <cell r="K129" t="str">
            <v>zwycięzca(cy): 22:20,21:11</v>
          </cell>
        </row>
        <row r="130">
          <cell r="B130">
            <v>19</v>
          </cell>
          <cell r="C130" t="str">
            <v>dzień turnieju.</v>
          </cell>
          <cell r="I130" t="str">
            <v>Nr meczu</v>
          </cell>
          <cell r="N130" t="str">
            <v>Godz.</v>
          </cell>
          <cell r="R130" t="str">
            <v>S. prow.</v>
          </cell>
          <cell r="AF130" t="str">
            <v>wygrany</v>
          </cell>
          <cell r="AG130" t="str">
            <v>przegrany</v>
          </cell>
        </row>
        <row r="131">
          <cell r="B131" t="str">
            <v>Boisko</v>
          </cell>
          <cell r="C131" t="str">
            <v>Gra</v>
          </cell>
          <cell r="I131">
            <v>19</v>
          </cell>
          <cell r="N131" t="str">
            <v>rozp.</v>
          </cell>
          <cell r="P131" t="str">
            <v>zak.</v>
          </cell>
          <cell r="R131" t="str">
            <v>S. serw.</v>
          </cell>
        </row>
        <row r="132">
          <cell r="A132">
            <v>19</v>
          </cell>
          <cell r="C132" t="str">
            <v>Beginners</v>
          </cell>
          <cell r="H132">
            <v>8</v>
          </cell>
          <cell r="I132">
            <v>21</v>
          </cell>
          <cell r="J132">
            <v>10</v>
          </cell>
          <cell r="K132">
            <v>21</v>
          </cell>
          <cell r="R132">
            <v>0</v>
          </cell>
          <cell r="S132" t="str">
            <v>godz.10:20</v>
          </cell>
          <cell r="X132">
            <v>19</v>
          </cell>
          <cell r="Y132" t="str">
            <v>Beginners</v>
          </cell>
          <cell r="Z132" t="str">
            <v>W0013</v>
          </cell>
          <cell r="AA132" t="str">
            <v/>
          </cell>
          <cell r="AB132" t="str">
            <v>S0028</v>
          </cell>
          <cell r="AC132" t="str">
            <v/>
          </cell>
          <cell r="AD132" t="str">
            <v>S0028</v>
          </cell>
          <cell r="AE132" t="str">
            <v/>
          </cell>
          <cell r="AF132" t="str">
            <v>21:8,21:10</v>
          </cell>
          <cell r="AG132" t="str">
            <v>8:21,10:21</v>
          </cell>
          <cell r="AH132" t="str">
            <v/>
          </cell>
          <cell r="AI132">
            <v>8</v>
          </cell>
          <cell r="AJ132">
            <v>21</v>
          </cell>
          <cell r="AK132">
            <v>10</v>
          </cell>
          <cell r="AL132">
            <v>21</v>
          </cell>
          <cell r="AM132">
            <v>0</v>
          </cell>
          <cell r="AN132">
            <v>0</v>
          </cell>
        </row>
        <row r="133">
          <cell r="A133" t="str">
            <v/>
          </cell>
          <cell r="B133" t="str">
            <v>Olaf WARNECKI (Rzeszów)</v>
          </cell>
          <cell r="H133" t="str">
            <v>W0013</v>
          </cell>
          <cell r="K133" t="str">
            <v>S0028</v>
          </cell>
          <cell r="N133" t="str">
            <v>Tobiasz SAŁAGAJ (Mielec)</v>
          </cell>
        </row>
        <row r="134">
          <cell r="A134" t="str">
            <v/>
          </cell>
          <cell r="B134" t="str">
            <v/>
          </cell>
          <cell r="H134" t="str">
            <v/>
          </cell>
          <cell r="K134" t="str">
            <v/>
          </cell>
          <cell r="N134" t="str">
            <v/>
          </cell>
        </row>
        <row r="136">
          <cell r="B136" t="str">
            <v/>
          </cell>
          <cell r="K136" t="str">
            <v>zwycięzca(cy): 21:8,21:10</v>
          </cell>
        </row>
        <row r="137">
          <cell r="B137">
            <v>20</v>
          </cell>
          <cell r="C137" t="str">
            <v>dzień turnieju.</v>
          </cell>
          <cell r="I137" t="str">
            <v>Nr meczu</v>
          </cell>
          <cell r="N137" t="str">
            <v>Godz.</v>
          </cell>
          <cell r="R137" t="str">
            <v>S. prow.</v>
          </cell>
          <cell r="AF137" t="str">
            <v>wygrany</v>
          </cell>
          <cell r="AG137" t="str">
            <v>przegrany</v>
          </cell>
        </row>
        <row r="138">
          <cell r="B138" t="str">
            <v>Boisko</v>
          </cell>
          <cell r="C138" t="str">
            <v>Gra</v>
          </cell>
          <cell r="I138">
            <v>20</v>
          </cell>
          <cell r="N138" t="str">
            <v>rozp.</v>
          </cell>
          <cell r="P138" t="str">
            <v>zak.</v>
          </cell>
          <cell r="R138" t="str">
            <v>S. serw.</v>
          </cell>
        </row>
        <row r="139">
          <cell r="A139">
            <v>20</v>
          </cell>
          <cell r="C139" t="str">
            <v>Beginners</v>
          </cell>
          <cell r="H139">
            <v>21</v>
          </cell>
          <cell r="I139">
            <v>18</v>
          </cell>
          <cell r="J139">
            <v>16</v>
          </cell>
          <cell r="K139">
            <v>21</v>
          </cell>
          <cell r="L139">
            <v>21</v>
          </cell>
          <cell r="M139">
            <v>11</v>
          </cell>
          <cell r="R139">
            <v>0</v>
          </cell>
          <cell r="S139" t="str">
            <v>godz.10:20</v>
          </cell>
          <cell r="X139">
            <v>20</v>
          </cell>
          <cell r="Y139" t="str">
            <v>Beginners</v>
          </cell>
          <cell r="Z139" t="str">
            <v>S0029</v>
          </cell>
          <cell r="AA139" t="str">
            <v/>
          </cell>
          <cell r="AB139" t="str">
            <v>D0008</v>
          </cell>
          <cell r="AC139" t="str">
            <v/>
          </cell>
          <cell r="AD139" t="str">
            <v>S0029</v>
          </cell>
          <cell r="AE139" t="str">
            <v/>
          </cell>
          <cell r="AF139" t="str">
            <v>21:18,16:21,21:11</v>
          </cell>
          <cell r="AG139" t="str">
            <v>18:21,21:16,11:21</v>
          </cell>
          <cell r="AH139" t="str">
            <v/>
          </cell>
          <cell r="AI139">
            <v>21</v>
          </cell>
          <cell r="AJ139">
            <v>18</v>
          </cell>
          <cell r="AK139">
            <v>16</v>
          </cell>
          <cell r="AL139">
            <v>21</v>
          </cell>
          <cell r="AM139">
            <v>21</v>
          </cell>
          <cell r="AN139">
            <v>11</v>
          </cell>
        </row>
        <row r="140">
          <cell r="A140" t="str">
            <v/>
          </cell>
          <cell r="B140" t="str">
            <v>Patryk STOLARZ (Mielec)</v>
          </cell>
          <cell r="H140" t="str">
            <v>S0029</v>
          </cell>
          <cell r="K140" t="str">
            <v>D0008</v>
          </cell>
          <cell r="N140" t="str">
            <v>Patrycja DOMAŃSKA (Rzeszów)</v>
          </cell>
        </row>
        <row r="141">
          <cell r="A141" t="str">
            <v/>
          </cell>
          <cell r="B141" t="str">
            <v/>
          </cell>
          <cell r="H141" t="str">
            <v/>
          </cell>
          <cell r="K141" t="str">
            <v/>
          </cell>
          <cell r="N141" t="str">
            <v/>
          </cell>
        </row>
        <row r="143">
          <cell r="B143" t="str">
            <v>zwycięzca(cy): 21:18,16:21,21:11</v>
          </cell>
          <cell r="K143" t="str">
            <v/>
          </cell>
        </row>
        <row r="144">
          <cell r="B144">
            <v>21</v>
          </cell>
          <cell r="C144" t="str">
            <v>dzień turnieju.</v>
          </cell>
          <cell r="I144" t="str">
            <v>Nr meczu</v>
          </cell>
          <cell r="N144" t="str">
            <v>Godz.</v>
          </cell>
          <cell r="R144" t="str">
            <v>S. prow.</v>
          </cell>
          <cell r="AF144" t="str">
            <v>wygrany</v>
          </cell>
          <cell r="AG144" t="str">
            <v>przegrany</v>
          </cell>
        </row>
        <row r="145">
          <cell r="B145" t="str">
            <v>Boisko</v>
          </cell>
          <cell r="C145" t="str">
            <v>Gra</v>
          </cell>
          <cell r="I145">
            <v>21</v>
          </cell>
          <cell r="N145" t="str">
            <v>rozp.</v>
          </cell>
          <cell r="P145" t="str">
            <v>zak.</v>
          </cell>
          <cell r="R145" t="str">
            <v>S. serw.</v>
          </cell>
        </row>
        <row r="146">
          <cell r="A146">
            <v>21</v>
          </cell>
          <cell r="C146" t="str">
            <v>Beginners</v>
          </cell>
          <cell r="H146">
            <v>21</v>
          </cell>
          <cell r="I146">
            <v>12</v>
          </cell>
          <cell r="J146">
            <v>21</v>
          </cell>
          <cell r="K146">
            <v>14</v>
          </cell>
          <cell r="R146">
            <v>0</v>
          </cell>
          <cell r="S146" t="str">
            <v>godz.10:40</v>
          </cell>
          <cell r="X146">
            <v>21</v>
          </cell>
          <cell r="Y146" t="str">
            <v>Beginners</v>
          </cell>
          <cell r="Z146" t="str">
            <v>O0006</v>
          </cell>
          <cell r="AA146" t="str">
            <v/>
          </cell>
          <cell r="AB146" t="str">
            <v>S0028</v>
          </cell>
          <cell r="AC146" t="str">
            <v/>
          </cell>
          <cell r="AD146" t="str">
            <v>O0006</v>
          </cell>
          <cell r="AE146" t="str">
            <v/>
          </cell>
          <cell r="AF146" t="str">
            <v>21:12,21:14</v>
          </cell>
          <cell r="AG146" t="str">
            <v>12:21,14:21</v>
          </cell>
          <cell r="AH146" t="str">
            <v/>
          </cell>
          <cell r="AI146">
            <v>21</v>
          </cell>
          <cell r="AJ146">
            <v>12</v>
          </cell>
          <cell r="AK146">
            <v>21</v>
          </cell>
          <cell r="AL146">
            <v>14</v>
          </cell>
          <cell r="AM146">
            <v>0</v>
          </cell>
          <cell r="AN146">
            <v>0</v>
          </cell>
        </row>
        <row r="147">
          <cell r="A147" t="str">
            <v/>
          </cell>
          <cell r="B147" t="str">
            <v>Jessica ORZECHOWICZ (Tarnowiec)</v>
          </cell>
          <cell r="H147" t="str">
            <v>O0006</v>
          </cell>
          <cell r="K147" t="str">
            <v>S0028</v>
          </cell>
          <cell r="N147" t="str">
            <v>Tobiasz SAŁAGAJ (Mielec)</v>
          </cell>
        </row>
        <row r="148">
          <cell r="A148" t="str">
            <v/>
          </cell>
          <cell r="B148" t="str">
            <v/>
          </cell>
          <cell r="H148" t="str">
            <v/>
          </cell>
          <cell r="K148" t="str">
            <v/>
          </cell>
          <cell r="N148" t="str">
            <v/>
          </cell>
        </row>
        <row r="150">
          <cell r="B150" t="str">
            <v>zwycięzca(cy): 21:12,21:14</v>
          </cell>
          <cell r="K150" t="str">
            <v/>
          </cell>
        </row>
        <row r="151">
          <cell r="B151">
            <v>22</v>
          </cell>
          <cell r="C151" t="str">
            <v>dzień turnieju.</v>
          </cell>
          <cell r="I151" t="str">
            <v>Nr meczu</v>
          </cell>
          <cell r="N151" t="str">
            <v>Godz.</v>
          </cell>
          <cell r="R151" t="str">
            <v>S. prow.</v>
          </cell>
          <cell r="AF151" t="str">
            <v>wygrany</v>
          </cell>
          <cell r="AG151" t="str">
            <v>przegrany</v>
          </cell>
        </row>
        <row r="152">
          <cell r="B152" t="str">
            <v>Boisko</v>
          </cell>
          <cell r="C152" t="str">
            <v>Gra</v>
          </cell>
          <cell r="I152">
            <v>22</v>
          </cell>
          <cell r="N152" t="str">
            <v>rozp.</v>
          </cell>
          <cell r="P152" t="str">
            <v>zak.</v>
          </cell>
          <cell r="R152" t="str">
            <v>S. serw.</v>
          </cell>
        </row>
        <row r="153">
          <cell r="A153">
            <v>22</v>
          </cell>
          <cell r="C153" t="str">
            <v>Beginners</v>
          </cell>
          <cell r="H153">
            <v>21</v>
          </cell>
          <cell r="I153">
            <v>16</v>
          </cell>
          <cell r="J153">
            <v>18</v>
          </cell>
          <cell r="K153">
            <v>21</v>
          </cell>
          <cell r="L153">
            <v>21</v>
          </cell>
          <cell r="M153">
            <v>14</v>
          </cell>
          <cell r="R153">
            <v>0</v>
          </cell>
          <cell r="S153" t="str">
            <v>godz.10:40</v>
          </cell>
          <cell r="X153">
            <v>22</v>
          </cell>
          <cell r="Y153" t="str">
            <v>Beginners</v>
          </cell>
          <cell r="Z153" t="str">
            <v>D0008</v>
          </cell>
          <cell r="AA153" t="str">
            <v/>
          </cell>
          <cell r="AB153" t="str">
            <v>S0028</v>
          </cell>
          <cell r="AC153" t="str">
            <v/>
          </cell>
          <cell r="AD153" t="str">
            <v>D0008</v>
          </cell>
          <cell r="AE153" t="str">
            <v/>
          </cell>
          <cell r="AF153" t="str">
            <v>21:16,18:21,21:14</v>
          </cell>
          <cell r="AG153" t="str">
            <v>16:21,21:18,14:21</v>
          </cell>
          <cell r="AH153" t="str">
            <v/>
          </cell>
          <cell r="AI153">
            <v>21</v>
          </cell>
          <cell r="AJ153">
            <v>16</v>
          </cell>
          <cell r="AK153">
            <v>18</v>
          </cell>
          <cell r="AL153">
            <v>21</v>
          </cell>
          <cell r="AM153">
            <v>21</v>
          </cell>
          <cell r="AN153">
            <v>14</v>
          </cell>
        </row>
        <row r="154">
          <cell r="A154" t="str">
            <v/>
          </cell>
          <cell r="B154" t="str">
            <v>Patrycja DOMAŃSKA (Rzeszów)</v>
          </cell>
          <cell r="H154" t="str">
            <v>D0008</v>
          </cell>
          <cell r="K154" t="str">
            <v>S0028</v>
          </cell>
          <cell r="N154" t="str">
            <v>Tobiasz SAŁAGAJ (Mielec)</v>
          </cell>
        </row>
        <row r="155">
          <cell r="A155" t="str">
            <v/>
          </cell>
          <cell r="B155" t="str">
            <v/>
          </cell>
          <cell r="H155" t="str">
            <v/>
          </cell>
          <cell r="K155" t="str">
            <v/>
          </cell>
          <cell r="N155" t="str">
            <v/>
          </cell>
        </row>
        <row r="157">
          <cell r="B157" t="str">
            <v>zwycięzca(cy): 21:16,18:21,21:14</v>
          </cell>
          <cell r="K157" t="str">
            <v/>
          </cell>
        </row>
        <row r="158">
          <cell r="B158">
            <v>23</v>
          </cell>
          <cell r="C158" t="str">
            <v>dzień turnieju.</v>
          </cell>
          <cell r="I158" t="str">
            <v>Nr meczu</v>
          </cell>
          <cell r="N158" t="str">
            <v>Godz.</v>
          </cell>
          <cell r="R158" t="str">
            <v>S. prow.</v>
          </cell>
          <cell r="AF158" t="str">
            <v>wygrany</v>
          </cell>
          <cell r="AG158" t="str">
            <v>przegrany</v>
          </cell>
        </row>
        <row r="159">
          <cell r="B159" t="str">
            <v>Boisko</v>
          </cell>
          <cell r="C159" t="str">
            <v>Gra</v>
          </cell>
          <cell r="I159">
            <v>23</v>
          </cell>
          <cell r="N159" t="str">
            <v>rozp.</v>
          </cell>
          <cell r="P159" t="str">
            <v>zak.</v>
          </cell>
          <cell r="R159" t="str">
            <v>S. serw.</v>
          </cell>
        </row>
        <row r="160">
          <cell r="A160">
            <v>23</v>
          </cell>
          <cell r="C160" t="str">
            <v>Beginners</v>
          </cell>
          <cell r="H160">
            <v>21</v>
          </cell>
          <cell r="I160">
            <v>13</v>
          </cell>
          <cell r="J160">
            <v>21</v>
          </cell>
          <cell r="K160">
            <v>18</v>
          </cell>
          <cell r="R160">
            <v>0</v>
          </cell>
          <cell r="S160" t="str">
            <v>godz.10:40</v>
          </cell>
          <cell r="X160">
            <v>23</v>
          </cell>
          <cell r="Y160" t="str">
            <v>Beginners</v>
          </cell>
          <cell r="Z160" t="str">
            <v>S0029</v>
          </cell>
          <cell r="AA160" t="str">
            <v/>
          </cell>
          <cell r="AB160" t="str">
            <v>O0006</v>
          </cell>
          <cell r="AC160" t="str">
            <v/>
          </cell>
          <cell r="AD160" t="str">
            <v>S0029</v>
          </cell>
          <cell r="AE160" t="str">
            <v/>
          </cell>
          <cell r="AF160" t="str">
            <v>21:13,21:18</v>
          </cell>
          <cell r="AG160" t="str">
            <v>13:21,18:21</v>
          </cell>
          <cell r="AH160" t="str">
            <v/>
          </cell>
          <cell r="AI160">
            <v>21</v>
          </cell>
          <cell r="AJ160">
            <v>13</v>
          </cell>
          <cell r="AK160">
            <v>21</v>
          </cell>
          <cell r="AL160">
            <v>18</v>
          </cell>
          <cell r="AM160">
            <v>0</v>
          </cell>
          <cell r="AN160">
            <v>0</v>
          </cell>
        </row>
        <row r="161">
          <cell r="A161" t="str">
            <v/>
          </cell>
          <cell r="B161" t="str">
            <v>Patryk STOLARZ (Mielec)</v>
          </cell>
          <cell r="H161" t="str">
            <v>S0029</v>
          </cell>
          <cell r="K161" t="str">
            <v>O0006</v>
          </cell>
          <cell r="N161" t="str">
            <v>Jessica ORZECHOWICZ (Tarnowiec)</v>
          </cell>
        </row>
        <row r="162">
          <cell r="A162" t="str">
            <v/>
          </cell>
          <cell r="B162" t="str">
            <v/>
          </cell>
          <cell r="H162" t="str">
            <v/>
          </cell>
          <cell r="K162" t="str">
            <v/>
          </cell>
          <cell r="N162" t="str">
            <v/>
          </cell>
        </row>
        <row r="164">
          <cell r="B164" t="str">
            <v>zwycięzca(cy): 21:13,21:18</v>
          </cell>
          <cell r="K164" t="str">
            <v/>
          </cell>
        </row>
        <row r="165">
          <cell r="B165">
            <v>24</v>
          </cell>
          <cell r="C165" t="str">
            <v>dzień turnieju.</v>
          </cell>
          <cell r="I165" t="str">
            <v>Nr meczu</v>
          </cell>
          <cell r="N165" t="str">
            <v>Godz.</v>
          </cell>
          <cell r="R165" t="str">
            <v>S. prow.</v>
          </cell>
          <cell r="AF165" t="str">
            <v>wygrany</v>
          </cell>
          <cell r="AG165" t="str">
            <v>przegrany</v>
          </cell>
        </row>
        <row r="166">
          <cell r="B166" t="str">
            <v>Boisko</v>
          </cell>
          <cell r="C166" t="str">
            <v>Gra</v>
          </cell>
          <cell r="I166">
            <v>24</v>
          </cell>
          <cell r="N166" t="str">
            <v>rozp.</v>
          </cell>
          <cell r="P166" t="str">
            <v>zak.</v>
          </cell>
          <cell r="R166" t="str">
            <v>S. serw.</v>
          </cell>
        </row>
        <row r="167">
          <cell r="A167">
            <v>24</v>
          </cell>
          <cell r="C167" t="str">
            <v>Runners Up</v>
          </cell>
          <cell r="H167">
            <v>15</v>
          </cell>
          <cell r="I167">
            <v>21</v>
          </cell>
          <cell r="J167">
            <v>21</v>
          </cell>
          <cell r="K167">
            <v>9</v>
          </cell>
          <cell r="L167">
            <v>21</v>
          </cell>
          <cell r="M167">
            <v>13</v>
          </cell>
          <cell r="R167">
            <v>0</v>
          </cell>
          <cell r="S167" t="str">
            <v>godz.10:40</v>
          </cell>
          <cell r="X167">
            <v>24</v>
          </cell>
          <cell r="Y167" t="str">
            <v>Runners Up</v>
          </cell>
          <cell r="Z167" t="str">
            <v>S0020</v>
          </cell>
          <cell r="AA167" t="str">
            <v/>
          </cell>
          <cell r="AB167" t="str">
            <v>G0011</v>
          </cell>
          <cell r="AC167" t="str">
            <v/>
          </cell>
          <cell r="AD167" t="str">
            <v>S0020</v>
          </cell>
          <cell r="AE167" t="str">
            <v/>
          </cell>
          <cell r="AF167" t="str">
            <v>15:21,21:9,21:13</v>
          </cell>
          <cell r="AG167" t="str">
            <v>21:15,9:21,13:21</v>
          </cell>
          <cell r="AH167" t="str">
            <v/>
          </cell>
          <cell r="AI167">
            <v>15</v>
          </cell>
          <cell r="AJ167">
            <v>21</v>
          </cell>
          <cell r="AK167">
            <v>21</v>
          </cell>
          <cell r="AL167">
            <v>9</v>
          </cell>
          <cell r="AM167">
            <v>21</v>
          </cell>
          <cell r="AN167">
            <v>13</v>
          </cell>
        </row>
        <row r="168">
          <cell r="A168" t="str">
            <v/>
          </cell>
          <cell r="B168" t="str">
            <v>Mariusz SŁOMBA (Mielec)</v>
          </cell>
          <cell r="H168" t="str">
            <v>S0020</v>
          </cell>
          <cell r="K168" t="str">
            <v>G0011</v>
          </cell>
          <cell r="N168" t="str">
            <v>Jakub GERCZAK (Sanok)</v>
          </cell>
        </row>
        <row r="169">
          <cell r="A169" t="str">
            <v/>
          </cell>
          <cell r="B169" t="str">
            <v/>
          </cell>
          <cell r="H169" t="str">
            <v/>
          </cell>
          <cell r="K169" t="str">
            <v/>
          </cell>
          <cell r="N169" t="str">
            <v/>
          </cell>
        </row>
        <row r="171">
          <cell r="B171" t="str">
            <v>zwycięzca(cy): 15:21,21:9,21:13</v>
          </cell>
          <cell r="K171" t="str">
            <v/>
          </cell>
        </row>
        <row r="172">
          <cell r="B172">
            <v>25</v>
          </cell>
          <cell r="C172" t="str">
            <v>dzień turnieju.</v>
          </cell>
          <cell r="I172" t="str">
            <v>Nr meczu</v>
          </cell>
          <cell r="N172" t="str">
            <v>Godz.</v>
          </cell>
          <cell r="R172" t="str">
            <v>S. prow.</v>
          </cell>
          <cell r="AF172" t="str">
            <v>wygrany</v>
          </cell>
          <cell r="AG172" t="str">
            <v>przegrany</v>
          </cell>
        </row>
        <row r="173">
          <cell r="B173" t="str">
            <v>Boisko</v>
          </cell>
          <cell r="C173" t="str">
            <v>Gra</v>
          </cell>
          <cell r="I173">
            <v>25</v>
          </cell>
          <cell r="N173" t="str">
            <v>rozp.</v>
          </cell>
          <cell r="P173" t="str">
            <v>zak.</v>
          </cell>
          <cell r="R173" t="str">
            <v>S. serw.</v>
          </cell>
        </row>
        <row r="174">
          <cell r="A174">
            <v>25</v>
          </cell>
          <cell r="C174" t="str">
            <v>Runners Up</v>
          </cell>
          <cell r="H174">
            <v>21</v>
          </cell>
          <cell r="I174">
            <v>12</v>
          </cell>
          <cell r="J174">
            <v>13</v>
          </cell>
          <cell r="K174">
            <v>21</v>
          </cell>
          <cell r="L174">
            <v>12</v>
          </cell>
          <cell r="M174">
            <v>21</v>
          </cell>
          <cell r="R174">
            <v>0</v>
          </cell>
          <cell r="S174" t="str">
            <v>godz.11:00</v>
          </cell>
          <cell r="X174">
            <v>25</v>
          </cell>
          <cell r="Y174" t="str">
            <v>Runners Up</v>
          </cell>
          <cell r="Z174" t="str">
            <v>O0004</v>
          </cell>
          <cell r="AA174" t="str">
            <v/>
          </cell>
          <cell r="AB174" t="str">
            <v>W0014</v>
          </cell>
          <cell r="AC174" t="str">
            <v/>
          </cell>
          <cell r="AD174" t="str">
            <v>W0014</v>
          </cell>
          <cell r="AE174" t="str">
            <v/>
          </cell>
          <cell r="AF174" t="str">
            <v>12:21,21:13,21:12</v>
          </cell>
          <cell r="AG174" t="str">
            <v>21:12,13:21,12:21</v>
          </cell>
          <cell r="AH174" t="str">
            <v/>
          </cell>
          <cell r="AI174">
            <v>21</v>
          </cell>
          <cell r="AJ174">
            <v>12</v>
          </cell>
          <cell r="AK174">
            <v>13</v>
          </cell>
          <cell r="AL174">
            <v>21</v>
          </cell>
          <cell r="AM174">
            <v>12</v>
          </cell>
          <cell r="AN174">
            <v>21</v>
          </cell>
        </row>
        <row r="175">
          <cell r="A175" t="str">
            <v/>
          </cell>
          <cell r="B175" t="str">
            <v>Krzysztof ORZECHOWICZ (Tarnowiec)</v>
          </cell>
          <cell r="H175" t="str">
            <v>O0004</v>
          </cell>
          <cell r="K175" t="str">
            <v>W0014</v>
          </cell>
          <cell r="N175" t="str">
            <v>Mariusz  WARNECKI (Rzeszów)</v>
          </cell>
        </row>
        <row r="176">
          <cell r="A176" t="str">
            <v/>
          </cell>
          <cell r="B176" t="str">
            <v/>
          </cell>
          <cell r="H176" t="str">
            <v/>
          </cell>
          <cell r="K176" t="str">
            <v/>
          </cell>
          <cell r="N176" t="str">
            <v/>
          </cell>
        </row>
        <row r="178">
          <cell r="B178" t="str">
            <v/>
          </cell>
          <cell r="K178" t="str">
            <v>zwycięzca(cy): 12:21,21:13,21:12</v>
          </cell>
        </row>
        <row r="179">
          <cell r="B179">
            <v>26</v>
          </cell>
          <cell r="C179" t="str">
            <v>dzień turnieju.</v>
          </cell>
          <cell r="I179" t="str">
            <v>Nr meczu</v>
          </cell>
          <cell r="N179" t="str">
            <v>Godz.</v>
          </cell>
          <cell r="R179" t="str">
            <v>S. prow.</v>
          </cell>
          <cell r="AF179" t="str">
            <v>wygrany</v>
          </cell>
          <cell r="AG179" t="str">
            <v>przegrany</v>
          </cell>
        </row>
        <row r="180">
          <cell r="B180" t="str">
            <v>Boisko</v>
          </cell>
          <cell r="C180" t="str">
            <v>Gra</v>
          </cell>
          <cell r="I180">
            <v>26</v>
          </cell>
          <cell r="N180" t="str">
            <v>rozp.</v>
          </cell>
          <cell r="P180" t="str">
            <v>zak.</v>
          </cell>
          <cell r="R180" t="str">
            <v>S. serw.</v>
          </cell>
        </row>
        <row r="181">
          <cell r="A181">
            <v>26</v>
          </cell>
          <cell r="C181" t="str">
            <v>Runners Up</v>
          </cell>
          <cell r="H181">
            <v>21</v>
          </cell>
          <cell r="I181">
            <v>11</v>
          </cell>
          <cell r="J181">
            <v>21</v>
          </cell>
          <cell r="K181">
            <v>7</v>
          </cell>
          <cell r="R181">
            <v>0</v>
          </cell>
          <cell r="S181" t="str">
            <v>godz.11:00</v>
          </cell>
          <cell r="X181">
            <v>26</v>
          </cell>
          <cell r="Y181" t="str">
            <v>Runners Up</v>
          </cell>
          <cell r="Z181" t="str">
            <v>K0012</v>
          </cell>
          <cell r="AA181" t="str">
            <v/>
          </cell>
          <cell r="AB181" t="str">
            <v>G0015</v>
          </cell>
          <cell r="AC181" t="str">
            <v/>
          </cell>
          <cell r="AD181" t="str">
            <v>K0012</v>
          </cell>
          <cell r="AE181" t="str">
            <v/>
          </cell>
          <cell r="AF181" t="str">
            <v>21:11,21:7</v>
          </cell>
          <cell r="AG181" t="str">
            <v>11:21,7:21</v>
          </cell>
          <cell r="AH181" t="str">
            <v/>
          </cell>
          <cell r="AI181">
            <v>21</v>
          </cell>
          <cell r="AJ181">
            <v>11</v>
          </cell>
          <cell r="AK181">
            <v>21</v>
          </cell>
          <cell r="AL181">
            <v>7</v>
          </cell>
          <cell r="AM181">
            <v>0</v>
          </cell>
          <cell r="AN181">
            <v>0</v>
          </cell>
        </row>
        <row r="182">
          <cell r="A182" t="str">
            <v/>
          </cell>
          <cell r="B182" t="str">
            <v>Piotr KOTERBA (Rzeszów)</v>
          </cell>
          <cell r="H182" t="str">
            <v>K0012</v>
          </cell>
          <cell r="K182" t="str">
            <v>G0015</v>
          </cell>
          <cell r="N182" t="str">
            <v>Piotr GŁOWACKI (Tarnowiec)</v>
          </cell>
        </row>
        <row r="183">
          <cell r="A183" t="str">
            <v/>
          </cell>
          <cell r="B183" t="str">
            <v/>
          </cell>
          <cell r="H183" t="str">
            <v/>
          </cell>
          <cell r="K183" t="str">
            <v/>
          </cell>
          <cell r="N183" t="str">
            <v/>
          </cell>
        </row>
        <row r="185">
          <cell r="B185" t="str">
            <v>zwycięzca(cy): 21:11,21:7</v>
          </cell>
          <cell r="K185" t="str">
            <v/>
          </cell>
        </row>
        <row r="186">
          <cell r="B186">
            <v>27</v>
          </cell>
          <cell r="C186" t="str">
            <v>dzień turnieju.</v>
          </cell>
          <cell r="I186" t="str">
            <v>Nr meczu</v>
          </cell>
          <cell r="N186" t="str">
            <v>Godz.</v>
          </cell>
          <cell r="R186" t="str">
            <v>S. prow.</v>
          </cell>
          <cell r="AF186" t="str">
            <v>wygrany</v>
          </cell>
          <cell r="AG186" t="str">
            <v>przegrany</v>
          </cell>
        </row>
        <row r="187">
          <cell r="B187" t="str">
            <v>Boisko</v>
          </cell>
          <cell r="C187" t="str">
            <v>Gra</v>
          </cell>
          <cell r="I187">
            <v>27</v>
          </cell>
          <cell r="N187" t="str">
            <v>rozp.</v>
          </cell>
          <cell r="P187" t="str">
            <v>zak.</v>
          </cell>
          <cell r="R187" t="str">
            <v>S. serw.</v>
          </cell>
        </row>
        <row r="188">
          <cell r="A188">
            <v>27</v>
          </cell>
          <cell r="C188" t="str">
            <v>Runners Up</v>
          </cell>
          <cell r="H188">
            <v>21</v>
          </cell>
          <cell r="I188">
            <v>12</v>
          </cell>
          <cell r="J188">
            <v>20</v>
          </cell>
          <cell r="K188">
            <v>22</v>
          </cell>
          <cell r="L188">
            <v>11</v>
          </cell>
          <cell r="M188">
            <v>21</v>
          </cell>
          <cell r="R188">
            <v>0</v>
          </cell>
          <cell r="S188" t="str">
            <v>godz.11:00</v>
          </cell>
          <cell r="X188">
            <v>27</v>
          </cell>
          <cell r="Y188" t="str">
            <v>Runners Up</v>
          </cell>
          <cell r="Z188" t="str">
            <v>G0017</v>
          </cell>
          <cell r="AA188" t="str">
            <v/>
          </cell>
          <cell r="AB188" t="str">
            <v>G0011</v>
          </cell>
          <cell r="AC188" t="str">
            <v/>
          </cell>
          <cell r="AD188" t="str">
            <v>G0011</v>
          </cell>
          <cell r="AE188" t="str">
            <v/>
          </cell>
          <cell r="AF188" t="str">
            <v>12:21,22:20,21:11</v>
          </cell>
          <cell r="AG188" t="str">
            <v>21:12,20:22,11:21</v>
          </cell>
          <cell r="AH188" t="str">
            <v/>
          </cell>
          <cell r="AI188">
            <v>21</v>
          </cell>
          <cell r="AJ188">
            <v>12</v>
          </cell>
          <cell r="AK188">
            <v>20</v>
          </cell>
          <cell r="AL188">
            <v>22</v>
          </cell>
          <cell r="AM188">
            <v>11</v>
          </cell>
          <cell r="AN188">
            <v>21</v>
          </cell>
        </row>
        <row r="189">
          <cell r="A189" t="str">
            <v/>
          </cell>
          <cell r="B189" t="str">
            <v>Grzegorz GODZWAN (Rzeszów)</v>
          </cell>
          <cell r="H189" t="str">
            <v>G0017</v>
          </cell>
          <cell r="K189" t="str">
            <v>G0011</v>
          </cell>
          <cell r="N189" t="str">
            <v>Jakub GERCZAK (Sanok)</v>
          </cell>
        </row>
        <row r="190">
          <cell r="A190" t="str">
            <v/>
          </cell>
          <cell r="B190" t="str">
            <v/>
          </cell>
          <cell r="H190" t="str">
            <v/>
          </cell>
          <cell r="K190" t="str">
            <v/>
          </cell>
          <cell r="N190" t="str">
            <v/>
          </cell>
        </row>
        <row r="192">
          <cell r="B192" t="str">
            <v/>
          </cell>
          <cell r="K192" t="str">
            <v>zwycięzca(cy): 12:21,22:20,21:11</v>
          </cell>
        </row>
        <row r="193">
          <cell r="B193">
            <v>28</v>
          </cell>
          <cell r="C193" t="str">
            <v>dzień turnieju.</v>
          </cell>
          <cell r="I193" t="str">
            <v>Nr meczu</v>
          </cell>
          <cell r="N193" t="str">
            <v>Godz.</v>
          </cell>
          <cell r="R193" t="str">
            <v>S. prow.</v>
          </cell>
          <cell r="AF193" t="str">
            <v>wygrany</v>
          </cell>
          <cell r="AG193" t="str">
            <v>przegrany</v>
          </cell>
        </row>
        <row r="194">
          <cell r="B194" t="str">
            <v>Boisko</v>
          </cell>
          <cell r="C194" t="str">
            <v>Gra</v>
          </cell>
          <cell r="I194">
            <v>28</v>
          </cell>
          <cell r="N194" t="str">
            <v>rozp.</v>
          </cell>
          <cell r="P194" t="str">
            <v>zak.</v>
          </cell>
          <cell r="R194" t="str">
            <v>S. serw.</v>
          </cell>
        </row>
        <row r="195">
          <cell r="A195">
            <v>28</v>
          </cell>
          <cell r="C195" t="str">
            <v>Runners Up</v>
          </cell>
          <cell r="H195">
            <v>15</v>
          </cell>
          <cell r="I195">
            <v>21</v>
          </cell>
          <cell r="J195">
            <v>19</v>
          </cell>
          <cell r="K195">
            <v>21</v>
          </cell>
          <cell r="R195">
            <v>0</v>
          </cell>
          <cell r="S195" t="str">
            <v>godz.11:00</v>
          </cell>
          <cell r="X195">
            <v>28</v>
          </cell>
          <cell r="Y195" t="str">
            <v>Runners Up</v>
          </cell>
          <cell r="Z195" t="str">
            <v>K0038</v>
          </cell>
          <cell r="AA195" t="str">
            <v/>
          </cell>
          <cell r="AB195" t="str">
            <v>W0014</v>
          </cell>
          <cell r="AC195" t="str">
            <v/>
          </cell>
          <cell r="AD195" t="str">
            <v>W0014</v>
          </cell>
          <cell r="AE195" t="str">
            <v/>
          </cell>
          <cell r="AF195" t="str">
            <v>21:15,21:19</v>
          </cell>
          <cell r="AG195" t="str">
            <v>15:21,19:21</v>
          </cell>
          <cell r="AH195" t="str">
            <v/>
          </cell>
          <cell r="AI195">
            <v>15</v>
          </cell>
          <cell r="AJ195">
            <v>21</v>
          </cell>
          <cell r="AK195">
            <v>19</v>
          </cell>
          <cell r="AL195">
            <v>21</v>
          </cell>
          <cell r="AM195">
            <v>0</v>
          </cell>
          <cell r="AN195">
            <v>0</v>
          </cell>
        </row>
        <row r="196">
          <cell r="A196" t="str">
            <v/>
          </cell>
          <cell r="B196" t="str">
            <v>Wojciech KWOLEK (Mielec)</v>
          </cell>
          <cell r="H196" t="str">
            <v>K0038</v>
          </cell>
          <cell r="K196" t="str">
            <v>W0014</v>
          </cell>
          <cell r="N196" t="str">
            <v>Mariusz  WARNECKI (Rzeszów)</v>
          </cell>
        </row>
        <row r="197">
          <cell r="A197" t="str">
            <v/>
          </cell>
          <cell r="B197" t="str">
            <v/>
          </cell>
          <cell r="H197" t="str">
            <v/>
          </cell>
          <cell r="K197" t="str">
            <v/>
          </cell>
          <cell r="N197" t="str">
            <v/>
          </cell>
        </row>
        <row r="199">
          <cell r="B199" t="str">
            <v/>
          </cell>
          <cell r="K199" t="str">
            <v>zwycięzca(cy): 21:15,21:19</v>
          </cell>
        </row>
        <row r="200">
          <cell r="B200">
            <v>29</v>
          </cell>
          <cell r="C200" t="str">
            <v>dzień turnieju.</v>
          </cell>
          <cell r="I200" t="str">
            <v>Nr meczu</v>
          </cell>
          <cell r="N200" t="str">
            <v>Godz.</v>
          </cell>
          <cell r="R200" t="str">
            <v>S. prow.</v>
          </cell>
          <cell r="AF200" t="str">
            <v>wygrany</v>
          </cell>
          <cell r="AG200" t="str">
            <v>przegrany</v>
          </cell>
        </row>
        <row r="201">
          <cell r="B201" t="str">
            <v>Boisko</v>
          </cell>
          <cell r="C201" t="str">
            <v>Gra</v>
          </cell>
          <cell r="I201">
            <v>29</v>
          </cell>
          <cell r="N201" t="str">
            <v>rozp.</v>
          </cell>
          <cell r="P201" t="str">
            <v>zak.</v>
          </cell>
          <cell r="R201" t="str">
            <v>S. serw.</v>
          </cell>
        </row>
        <row r="202">
          <cell r="A202">
            <v>29</v>
          </cell>
          <cell r="C202" t="str">
            <v>Runners Up</v>
          </cell>
          <cell r="H202">
            <v>21</v>
          </cell>
          <cell r="I202">
            <v>10</v>
          </cell>
          <cell r="J202">
            <v>21</v>
          </cell>
          <cell r="K202">
            <v>7</v>
          </cell>
          <cell r="R202">
            <v>0</v>
          </cell>
          <cell r="S202" t="str">
            <v>godz.11:20</v>
          </cell>
          <cell r="X202">
            <v>29</v>
          </cell>
          <cell r="Y202" t="str">
            <v>Runners Up</v>
          </cell>
          <cell r="Z202" t="str">
            <v>K0022</v>
          </cell>
          <cell r="AA202" t="str">
            <v/>
          </cell>
          <cell r="AB202" t="str">
            <v>G0015</v>
          </cell>
          <cell r="AC202" t="str">
            <v/>
          </cell>
          <cell r="AD202" t="str">
            <v>K0022</v>
          </cell>
          <cell r="AE202" t="str">
            <v/>
          </cell>
          <cell r="AF202" t="str">
            <v>21:10,21:7</v>
          </cell>
          <cell r="AG202" t="str">
            <v>10:21,7:21</v>
          </cell>
          <cell r="AH202" t="str">
            <v/>
          </cell>
          <cell r="AI202">
            <v>21</v>
          </cell>
          <cell r="AJ202">
            <v>10</v>
          </cell>
          <cell r="AK202">
            <v>21</v>
          </cell>
          <cell r="AL202">
            <v>7</v>
          </cell>
          <cell r="AM202">
            <v>0</v>
          </cell>
          <cell r="AN202">
            <v>0</v>
          </cell>
        </row>
        <row r="203">
          <cell r="A203" t="str">
            <v/>
          </cell>
          <cell r="B203" t="str">
            <v>Hubert KUKOWSKI (Mielec)</v>
          </cell>
          <cell r="H203" t="str">
            <v>K0022</v>
          </cell>
          <cell r="K203" t="str">
            <v>G0015</v>
          </cell>
          <cell r="N203" t="str">
            <v>Piotr GŁOWACKI (Tarnowiec)</v>
          </cell>
        </row>
        <row r="204">
          <cell r="A204" t="str">
            <v/>
          </cell>
          <cell r="B204" t="str">
            <v/>
          </cell>
          <cell r="H204" t="str">
            <v/>
          </cell>
          <cell r="K204" t="str">
            <v/>
          </cell>
          <cell r="N204" t="str">
            <v/>
          </cell>
        </row>
        <row r="206">
          <cell r="B206" t="str">
            <v>zwycięzca(cy): 21:10,21:7</v>
          </cell>
          <cell r="K206" t="str">
            <v/>
          </cell>
        </row>
        <row r="207">
          <cell r="B207">
            <v>30</v>
          </cell>
          <cell r="C207" t="str">
            <v>dzień turnieju.</v>
          </cell>
          <cell r="I207" t="str">
            <v>Nr meczu</v>
          </cell>
          <cell r="N207" t="str">
            <v>Godz.</v>
          </cell>
          <cell r="R207" t="str">
            <v>S. prow.</v>
          </cell>
          <cell r="AF207" t="str">
            <v>wygrany</v>
          </cell>
          <cell r="AG207" t="str">
            <v>przegrany</v>
          </cell>
        </row>
        <row r="208">
          <cell r="B208" t="str">
            <v>Boisko</v>
          </cell>
          <cell r="C208" t="str">
            <v>Gra</v>
          </cell>
          <cell r="I208">
            <v>30</v>
          </cell>
          <cell r="N208" t="str">
            <v>rozp.</v>
          </cell>
          <cell r="P208" t="str">
            <v>zak.</v>
          </cell>
          <cell r="R208" t="str">
            <v>S. serw.</v>
          </cell>
        </row>
        <row r="209">
          <cell r="A209">
            <v>30</v>
          </cell>
          <cell r="C209" t="str">
            <v>Runners Up</v>
          </cell>
          <cell r="H209">
            <v>21</v>
          </cell>
          <cell r="I209">
            <v>13</v>
          </cell>
          <cell r="J209">
            <v>21</v>
          </cell>
          <cell r="K209">
            <v>16</v>
          </cell>
          <cell r="R209">
            <v>0</v>
          </cell>
          <cell r="S209" t="str">
            <v>godz.11:20</v>
          </cell>
          <cell r="X209">
            <v>30</v>
          </cell>
          <cell r="Y209" t="str">
            <v>Runners Up</v>
          </cell>
          <cell r="Z209" t="str">
            <v>S0020</v>
          </cell>
          <cell r="AA209" t="str">
            <v/>
          </cell>
          <cell r="AB209" t="str">
            <v>G0017</v>
          </cell>
          <cell r="AC209" t="str">
            <v/>
          </cell>
          <cell r="AD209" t="str">
            <v>S0020</v>
          </cell>
          <cell r="AE209" t="str">
            <v/>
          </cell>
          <cell r="AF209" t="str">
            <v>21:13,21:16</v>
          </cell>
          <cell r="AG209" t="str">
            <v>13:21,16:21</v>
          </cell>
          <cell r="AH209" t="str">
            <v/>
          </cell>
          <cell r="AI209">
            <v>21</v>
          </cell>
          <cell r="AJ209">
            <v>13</v>
          </cell>
          <cell r="AK209">
            <v>21</v>
          </cell>
          <cell r="AL209">
            <v>16</v>
          </cell>
          <cell r="AM209">
            <v>0</v>
          </cell>
          <cell r="AN209">
            <v>0</v>
          </cell>
        </row>
        <row r="210">
          <cell r="A210" t="str">
            <v/>
          </cell>
          <cell r="B210" t="str">
            <v>Mariusz SŁOMBA (Mielec)</v>
          </cell>
          <cell r="H210" t="str">
            <v>S0020</v>
          </cell>
          <cell r="K210" t="str">
            <v>G0017</v>
          </cell>
          <cell r="N210" t="str">
            <v>Grzegorz GODZWAN (Rzeszów)</v>
          </cell>
        </row>
        <row r="211">
          <cell r="A211" t="str">
            <v/>
          </cell>
          <cell r="B211" t="str">
            <v/>
          </cell>
          <cell r="H211" t="str">
            <v/>
          </cell>
          <cell r="K211" t="str">
            <v/>
          </cell>
          <cell r="N211" t="str">
            <v/>
          </cell>
        </row>
        <row r="213">
          <cell r="B213" t="str">
            <v>zwycięzca(cy): 21:13,21:16</v>
          </cell>
          <cell r="K213" t="str">
            <v/>
          </cell>
        </row>
        <row r="214">
          <cell r="B214">
            <v>31</v>
          </cell>
          <cell r="C214" t="str">
            <v>dzień turnieju.</v>
          </cell>
          <cell r="I214" t="str">
            <v>Nr meczu</v>
          </cell>
          <cell r="N214" t="str">
            <v>Godz.</v>
          </cell>
          <cell r="R214" t="str">
            <v>S. prow.</v>
          </cell>
          <cell r="AF214" t="str">
            <v>wygrany</v>
          </cell>
          <cell r="AG214" t="str">
            <v>przegrany</v>
          </cell>
        </row>
        <row r="215">
          <cell r="B215" t="str">
            <v>Boisko</v>
          </cell>
          <cell r="C215" t="str">
            <v>Gra</v>
          </cell>
          <cell r="I215">
            <v>31</v>
          </cell>
          <cell r="N215" t="str">
            <v>rozp.</v>
          </cell>
          <cell r="P215" t="str">
            <v>zak.</v>
          </cell>
          <cell r="R215" t="str">
            <v>S. serw.</v>
          </cell>
        </row>
        <row r="216">
          <cell r="A216">
            <v>31</v>
          </cell>
          <cell r="C216" t="str">
            <v>Runners Up</v>
          </cell>
          <cell r="H216">
            <v>21</v>
          </cell>
          <cell r="I216">
            <v>17</v>
          </cell>
          <cell r="J216">
            <v>21</v>
          </cell>
          <cell r="K216">
            <v>8</v>
          </cell>
          <cell r="R216">
            <v>0</v>
          </cell>
          <cell r="S216" t="str">
            <v>godz.11:20</v>
          </cell>
          <cell r="X216">
            <v>31</v>
          </cell>
          <cell r="Y216" t="str">
            <v>Runners Up</v>
          </cell>
          <cell r="Z216" t="str">
            <v>O0004</v>
          </cell>
          <cell r="AA216" t="str">
            <v/>
          </cell>
          <cell r="AB216" t="str">
            <v>K0038</v>
          </cell>
          <cell r="AC216" t="str">
            <v/>
          </cell>
          <cell r="AD216" t="str">
            <v>O0004</v>
          </cell>
          <cell r="AE216" t="str">
            <v/>
          </cell>
          <cell r="AF216" t="str">
            <v>21:17,21:8</v>
          </cell>
          <cell r="AG216" t="str">
            <v>17:21,8:21</v>
          </cell>
          <cell r="AH216" t="str">
            <v/>
          </cell>
          <cell r="AI216">
            <v>21</v>
          </cell>
          <cell r="AJ216">
            <v>17</v>
          </cell>
          <cell r="AK216">
            <v>21</v>
          </cell>
          <cell r="AL216">
            <v>8</v>
          </cell>
          <cell r="AM216">
            <v>0</v>
          </cell>
          <cell r="AN216">
            <v>0</v>
          </cell>
        </row>
        <row r="217">
          <cell r="A217" t="str">
            <v/>
          </cell>
          <cell r="B217" t="str">
            <v>Krzysztof ORZECHOWICZ (Tarnowiec)</v>
          </cell>
          <cell r="H217" t="str">
            <v>O0004</v>
          </cell>
          <cell r="K217" t="str">
            <v>K0038</v>
          </cell>
          <cell r="N217" t="str">
            <v>Wojciech KWOLEK (Mielec)</v>
          </cell>
        </row>
        <row r="218">
          <cell r="A218" t="str">
            <v/>
          </cell>
          <cell r="B218" t="str">
            <v/>
          </cell>
          <cell r="H218" t="str">
            <v/>
          </cell>
          <cell r="K218" t="str">
            <v/>
          </cell>
          <cell r="N218" t="str">
            <v/>
          </cell>
        </row>
        <row r="220">
          <cell r="B220" t="str">
            <v>zwycięzca(cy): 21:17,21:8</v>
          </cell>
          <cell r="K220" t="str">
            <v/>
          </cell>
        </row>
        <row r="221">
          <cell r="B221">
            <v>32</v>
          </cell>
          <cell r="C221" t="str">
            <v>dzień turnieju.</v>
          </cell>
          <cell r="I221" t="str">
            <v>Nr meczu</v>
          </cell>
          <cell r="N221" t="str">
            <v>Godz.</v>
          </cell>
          <cell r="R221" t="str">
            <v>S. prow.</v>
          </cell>
          <cell r="AF221" t="str">
            <v>wygrany</v>
          </cell>
          <cell r="AG221" t="str">
            <v>przegrany</v>
          </cell>
        </row>
        <row r="222">
          <cell r="B222" t="str">
            <v>Boisko</v>
          </cell>
          <cell r="C222" t="str">
            <v>Gra</v>
          </cell>
          <cell r="I222">
            <v>32</v>
          </cell>
          <cell r="N222" t="str">
            <v>rozp.</v>
          </cell>
          <cell r="P222" t="str">
            <v>zak.</v>
          </cell>
          <cell r="R222" t="str">
            <v>S. serw.</v>
          </cell>
        </row>
        <row r="223">
          <cell r="A223">
            <v>32</v>
          </cell>
          <cell r="C223" t="str">
            <v>Runners Up</v>
          </cell>
          <cell r="H223">
            <v>11</v>
          </cell>
          <cell r="I223">
            <v>21</v>
          </cell>
          <cell r="J223">
            <v>21</v>
          </cell>
          <cell r="K223">
            <v>15</v>
          </cell>
          <cell r="L223">
            <v>21</v>
          </cell>
          <cell r="M223">
            <v>8</v>
          </cell>
          <cell r="R223">
            <v>0</v>
          </cell>
          <cell r="S223" t="str">
            <v>godz.11:20</v>
          </cell>
          <cell r="X223">
            <v>32</v>
          </cell>
          <cell r="Y223" t="str">
            <v>Runners Up</v>
          </cell>
          <cell r="Z223" t="str">
            <v>K0012</v>
          </cell>
          <cell r="AA223" t="str">
            <v/>
          </cell>
          <cell r="AB223" t="str">
            <v>K0022</v>
          </cell>
          <cell r="AC223" t="str">
            <v/>
          </cell>
          <cell r="AD223" t="str">
            <v>K0012</v>
          </cell>
          <cell r="AE223" t="str">
            <v/>
          </cell>
          <cell r="AF223" t="str">
            <v>11:21,21:15,21:8</v>
          </cell>
          <cell r="AG223" t="str">
            <v>21:11,15:21,8:21</v>
          </cell>
          <cell r="AH223" t="str">
            <v/>
          </cell>
          <cell r="AI223">
            <v>11</v>
          </cell>
          <cell r="AJ223">
            <v>21</v>
          </cell>
          <cell r="AK223">
            <v>21</v>
          </cell>
          <cell r="AL223">
            <v>15</v>
          </cell>
          <cell r="AM223">
            <v>21</v>
          </cell>
          <cell r="AN223">
            <v>8</v>
          </cell>
        </row>
        <row r="224">
          <cell r="A224" t="str">
            <v/>
          </cell>
          <cell r="B224" t="str">
            <v>Piotr KOTERBA (Rzeszów)</v>
          </cell>
          <cell r="H224" t="str">
            <v>K0012</v>
          </cell>
          <cell r="K224" t="str">
            <v>K0022</v>
          </cell>
          <cell r="N224" t="str">
            <v>Hubert KUKOWSKI (Mielec)</v>
          </cell>
        </row>
        <row r="225">
          <cell r="A225" t="str">
            <v/>
          </cell>
          <cell r="B225" t="str">
            <v/>
          </cell>
          <cell r="H225" t="str">
            <v/>
          </cell>
          <cell r="K225" t="str">
            <v/>
          </cell>
          <cell r="N225" t="str">
            <v/>
          </cell>
        </row>
        <row r="227">
          <cell r="B227" t="str">
            <v>zwycięzca(cy): 11:21,21:15,21:8</v>
          </cell>
          <cell r="K227" t="str">
            <v/>
          </cell>
        </row>
        <row r="228">
          <cell r="B228">
            <v>33</v>
          </cell>
          <cell r="C228" t="str">
            <v>dzień turnieju.</v>
          </cell>
          <cell r="I228" t="str">
            <v>Nr meczu</v>
          </cell>
          <cell r="N228" t="str">
            <v>Godz.</v>
          </cell>
          <cell r="R228" t="str">
            <v>S. prow.</v>
          </cell>
          <cell r="AF228" t="str">
            <v>wygrany</v>
          </cell>
          <cell r="AG228" t="str">
            <v>przegrany</v>
          </cell>
        </row>
        <row r="229">
          <cell r="B229" t="str">
            <v>Boisko</v>
          </cell>
          <cell r="C229" t="str">
            <v>Gra</v>
          </cell>
          <cell r="I229">
            <v>33</v>
          </cell>
          <cell r="N229" t="str">
            <v>rozp.</v>
          </cell>
          <cell r="P229" t="str">
            <v>zak.</v>
          </cell>
          <cell r="R229" t="str">
            <v>S. serw.</v>
          </cell>
        </row>
        <row r="230">
          <cell r="A230">
            <v>33</v>
          </cell>
          <cell r="C230" t="str">
            <v>Runners Up</v>
          </cell>
          <cell r="H230">
            <v>21</v>
          </cell>
          <cell r="I230">
            <v>16</v>
          </cell>
          <cell r="J230">
            <v>21</v>
          </cell>
          <cell r="K230">
            <v>12</v>
          </cell>
          <cell r="R230">
            <v>0</v>
          </cell>
          <cell r="S230" t="str">
            <v>godz.11:40</v>
          </cell>
          <cell r="X230">
            <v>33</v>
          </cell>
          <cell r="Y230" t="str">
            <v>Runners Up</v>
          </cell>
          <cell r="Z230" t="str">
            <v>K0022</v>
          </cell>
          <cell r="AA230" t="str">
            <v/>
          </cell>
          <cell r="AB230" t="str">
            <v>O0004</v>
          </cell>
          <cell r="AC230" t="str">
            <v/>
          </cell>
          <cell r="AD230" t="str">
            <v>K0022</v>
          </cell>
          <cell r="AE230" t="str">
            <v/>
          </cell>
          <cell r="AF230" t="str">
            <v>21:16,21:12</v>
          </cell>
          <cell r="AG230" t="str">
            <v>16:21,12:21</v>
          </cell>
          <cell r="AH230" t="str">
            <v/>
          </cell>
          <cell r="AI230">
            <v>21</v>
          </cell>
          <cell r="AJ230">
            <v>16</v>
          </cell>
          <cell r="AK230">
            <v>21</v>
          </cell>
          <cell r="AL230">
            <v>12</v>
          </cell>
          <cell r="AM230">
            <v>0</v>
          </cell>
          <cell r="AN230">
            <v>0</v>
          </cell>
        </row>
        <row r="231">
          <cell r="A231" t="str">
            <v/>
          </cell>
          <cell r="B231" t="str">
            <v>Hubert KUKOWSKI (Mielec)</v>
          </cell>
          <cell r="H231" t="str">
            <v>K0022</v>
          </cell>
          <cell r="K231" t="str">
            <v>O0004</v>
          </cell>
          <cell r="N231" t="str">
            <v>Krzysztof ORZECHOWICZ (Tarnowiec)</v>
          </cell>
        </row>
        <row r="232">
          <cell r="A232" t="str">
            <v/>
          </cell>
          <cell r="B232" t="str">
            <v/>
          </cell>
          <cell r="H232" t="str">
            <v/>
          </cell>
          <cell r="K232" t="str">
            <v/>
          </cell>
          <cell r="N232" t="str">
            <v/>
          </cell>
        </row>
        <row r="234">
          <cell r="B234" t="str">
            <v>zwycięzca(cy): 21:16,21:12</v>
          </cell>
          <cell r="K234" t="str">
            <v/>
          </cell>
        </row>
        <row r="235">
          <cell r="B235">
            <v>34</v>
          </cell>
          <cell r="C235" t="str">
            <v>dzień turnieju.</v>
          </cell>
          <cell r="I235" t="str">
            <v>Nr meczu</v>
          </cell>
          <cell r="N235" t="str">
            <v>Godz.</v>
          </cell>
          <cell r="R235" t="str">
            <v>S. prow.</v>
          </cell>
          <cell r="AF235" t="str">
            <v>wygrany</v>
          </cell>
          <cell r="AG235" t="str">
            <v>przegrany</v>
          </cell>
        </row>
        <row r="236">
          <cell r="B236" t="str">
            <v>Boisko</v>
          </cell>
          <cell r="C236" t="str">
            <v>Gra</v>
          </cell>
          <cell r="I236">
            <v>34</v>
          </cell>
          <cell r="N236" t="str">
            <v>rozp.</v>
          </cell>
          <cell r="P236" t="str">
            <v>zak.</v>
          </cell>
          <cell r="R236" t="str">
            <v>S. serw.</v>
          </cell>
        </row>
        <row r="237">
          <cell r="A237">
            <v>34</v>
          </cell>
          <cell r="C237" t="str">
            <v>Runners Up</v>
          </cell>
          <cell r="H237">
            <v>21</v>
          </cell>
          <cell r="I237">
            <v>17</v>
          </cell>
          <cell r="J237">
            <v>21</v>
          </cell>
          <cell r="K237">
            <v>12</v>
          </cell>
          <cell r="R237">
            <v>0</v>
          </cell>
          <cell r="S237" t="str">
            <v>godz.11:40</v>
          </cell>
          <cell r="X237">
            <v>34</v>
          </cell>
          <cell r="Y237" t="str">
            <v>Runners Up</v>
          </cell>
          <cell r="Z237" t="str">
            <v>G0011</v>
          </cell>
          <cell r="AA237" t="str">
            <v/>
          </cell>
          <cell r="AB237" t="str">
            <v>W0014</v>
          </cell>
          <cell r="AC237" t="str">
            <v/>
          </cell>
          <cell r="AD237" t="str">
            <v>G0011</v>
          </cell>
          <cell r="AE237" t="str">
            <v/>
          </cell>
          <cell r="AF237" t="str">
            <v>21:17,21:12</v>
          </cell>
          <cell r="AG237" t="str">
            <v>17:21,12:21</v>
          </cell>
          <cell r="AH237" t="str">
            <v/>
          </cell>
          <cell r="AI237">
            <v>21</v>
          </cell>
          <cell r="AJ237">
            <v>17</v>
          </cell>
          <cell r="AK237">
            <v>21</v>
          </cell>
          <cell r="AL237">
            <v>12</v>
          </cell>
          <cell r="AM237">
            <v>0</v>
          </cell>
          <cell r="AN237">
            <v>0</v>
          </cell>
        </row>
        <row r="238">
          <cell r="A238" t="str">
            <v/>
          </cell>
          <cell r="B238" t="str">
            <v>Jakub GERCZAK (Sanok)</v>
          </cell>
          <cell r="H238" t="str">
            <v>G0011</v>
          </cell>
          <cell r="K238" t="str">
            <v>W0014</v>
          </cell>
          <cell r="N238" t="str">
            <v>Mariusz  WARNECKI (Rzeszów)</v>
          </cell>
        </row>
        <row r="239">
          <cell r="A239" t="str">
            <v/>
          </cell>
          <cell r="B239" t="str">
            <v/>
          </cell>
          <cell r="H239" t="str">
            <v/>
          </cell>
          <cell r="K239" t="str">
            <v/>
          </cell>
          <cell r="N239" t="str">
            <v/>
          </cell>
        </row>
        <row r="241">
          <cell r="B241" t="str">
            <v>zwycięzca(cy): 21:17,21:12</v>
          </cell>
          <cell r="K241" t="str">
            <v/>
          </cell>
        </row>
        <row r="242">
          <cell r="B242">
            <v>35</v>
          </cell>
          <cell r="C242" t="str">
            <v>dzień turnieju.</v>
          </cell>
          <cell r="I242" t="str">
            <v>Nr meczu</v>
          </cell>
          <cell r="N242" t="str">
            <v>Godz.</v>
          </cell>
          <cell r="R242" t="str">
            <v>S. prow.</v>
          </cell>
          <cell r="AF242" t="str">
            <v>wygrany</v>
          </cell>
          <cell r="AG242" t="str">
            <v>przegrany</v>
          </cell>
        </row>
        <row r="243">
          <cell r="B243" t="str">
            <v>Boisko</v>
          </cell>
          <cell r="C243" t="str">
            <v>Gra</v>
          </cell>
          <cell r="I243">
            <v>35</v>
          </cell>
          <cell r="N243" t="str">
            <v>rozp.</v>
          </cell>
          <cell r="P243" t="str">
            <v>zak.</v>
          </cell>
          <cell r="R243" t="str">
            <v>S. serw.</v>
          </cell>
        </row>
        <row r="244">
          <cell r="A244">
            <v>35</v>
          </cell>
          <cell r="C244" t="str">
            <v>Runners Up</v>
          </cell>
          <cell r="H244">
            <v>23</v>
          </cell>
          <cell r="I244">
            <v>21</v>
          </cell>
          <cell r="J244">
            <v>21</v>
          </cell>
          <cell r="K244">
            <v>18</v>
          </cell>
          <cell r="R244">
            <v>0</v>
          </cell>
          <cell r="S244" t="str">
            <v>godz.11:40</v>
          </cell>
          <cell r="X244">
            <v>35</v>
          </cell>
          <cell r="Y244" t="str">
            <v>Runners Up</v>
          </cell>
          <cell r="Z244" t="str">
            <v>S0020</v>
          </cell>
          <cell r="AA244" t="str">
            <v/>
          </cell>
          <cell r="AB244" t="str">
            <v>K0022</v>
          </cell>
          <cell r="AC244" t="str">
            <v/>
          </cell>
          <cell r="AD244" t="str">
            <v>S0020</v>
          </cell>
          <cell r="AE244" t="str">
            <v/>
          </cell>
          <cell r="AF244" t="str">
            <v>23:21,21:18</v>
          </cell>
          <cell r="AG244" t="str">
            <v>21:23,18:21</v>
          </cell>
          <cell r="AH244" t="str">
            <v/>
          </cell>
          <cell r="AI244">
            <v>23</v>
          </cell>
          <cell r="AJ244">
            <v>21</v>
          </cell>
          <cell r="AK244">
            <v>21</v>
          </cell>
          <cell r="AL244">
            <v>18</v>
          </cell>
          <cell r="AM244">
            <v>0</v>
          </cell>
          <cell r="AN244">
            <v>0</v>
          </cell>
        </row>
        <row r="245">
          <cell r="A245" t="str">
            <v/>
          </cell>
          <cell r="B245" t="str">
            <v>Mariusz SŁOMBA (Mielec)</v>
          </cell>
          <cell r="H245" t="str">
            <v>S0020</v>
          </cell>
          <cell r="K245" t="str">
            <v>K0022</v>
          </cell>
          <cell r="N245" t="str">
            <v>Hubert KUKOWSKI (Mielec)</v>
          </cell>
        </row>
        <row r="246">
          <cell r="A246" t="str">
            <v/>
          </cell>
          <cell r="B246" t="str">
            <v/>
          </cell>
          <cell r="H246" t="str">
            <v/>
          </cell>
          <cell r="K246" t="str">
            <v/>
          </cell>
          <cell r="N246" t="str">
            <v/>
          </cell>
        </row>
        <row r="248">
          <cell r="B248" t="str">
            <v>zwycięzca(cy): 23:21,21:18</v>
          </cell>
          <cell r="K248" t="str">
            <v/>
          </cell>
        </row>
        <row r="249">
          <cell r="B249">
            <v>36</v>
          </cell>
          <cell r="C249" t="str">
            <v>dzień turnieju.</v>
          </cell>
          <cell r="I249" t="str">
            <v>Nr meczu</v>
          </cell>
          <cell r="N249" t="str">
            <v>Godz.</v>
          </cell>
          <cell r="R249" t="str">
            <v>S. prow.</v>
          </cell>
          <cell r="AF249" t="str">
            <v>wygrany</v>
          </cell>
          <cell r="AG249" t="str">
            <v>przegrany</v>
          </cell>
        </row>
        <row r="250">
          <cell r="B250" t="str">
            <v>Boisko</v>
          </cell>
          <cell r="C250" t="str">
            <v>Gra</v>
          </cell>
          <cell r="I250">
            <v>36</v>
          </cell>
          <cell r="N250" t="str">
            <v>rozp.</v>
          </cell>
          <cell r="P250" t="str">
            <v>zak.</v>
          </cell>
          <cell r="R250" t="str">
            <v>S. serw.</v>
          </cell>
        </row>
        <row r="251">
          <cell r="A251">
            <v>36</v>
          </cell>
          <cell r="C251" t="str">
            <v>Runners Up</v>
          </cell>
          <cell r="H251">
            <v>19</v>
          </cell>
          <cell r="I251">
            <v>21</v>
          </cell>
          <cell r="J251">
            <v>19</v>
          </cell>
          <cell r="K251">
            <v>21</v>
          </cell>
          <cell r="R251">
            <v>0</v>
          </cell>
          <cell r="S251" t="str">
            <v>godz.11:40</v>
          </cell>
          <cell r="X251">
            <v>36</v>
          </cell>
          <cell r="Y251" t="str">
            <v>Runners Up</v>
          </cell>
          <cell r="Z251" t="str">
            <v>G0011</v>
          </cell>
          <cell r="AA251" t="str">
            <v/>
          </cell>
          <cell r="AB251" t="str">
            <v>K0012</v>
          </cell>
          <cell r="AC251" t="str">
            <v/>
          </cell>
          <cell r="AD251" t="str">
            <v>K0012</v>
          </cell>
          <cell r="AE251" t="str">
            <v/>
          </cell>
          <cell r="AF251" t="str">
            <v>21:19,21:19</v>
          </cell>
          <cell r="AG251" t="str">
            <v>19:21,19:21</v>
          </cell>
          <cell r="AH251" t="str">
            <v/>
          </cell>
          <cell r="AI251">
            <v>19</v>
          </cell>
          <cell r="AJ251">
            <v>21</v>
          </cell>
          <cell r="AK251">
            <v>19</v>
          </cell>
          <cell r="AL251">
            <v>21</v>
          </cell>
          <cell r="AM251">
            <v>0</v>
          </cell>
          <cell r="AN251">
            <v>0</v>
          </cell>
        </row>
        <row r="252">
          <cell r="A252" t="str">
            <v/>
          </cell>
          <cell r="B252" t="str">
            <v>Jakub GERCZAK (Sanok)</v>
          </cell>
          <cell r="H252" t="str">
            <v>G0011</v>
          </cell>
          <cell r="K252" t="str">
            <v>K0012</v>
          </cell>
          <cell r="N252" t="str">
            <v>Piotr KOTERBA (Rzeszów)</v>
          </cell>
        </row>
        <row r="253">
          <cell r="A253" t="str">
            <v/>
          </cell>
          <cell r="B253" t="str">
            <v/>
          </cell>
          <cell r="H253" t="str">
            <v/>
          </cell>
          <cell r="K253" t="str">
            <v/>
          </cell>
          <cell r="N253" t="str">
            <v/>
          </cell>
        </row>
        <row r="255">
          <cell r="B255" t="str">
            <v/>
          </cell>
          <cell r="K255" t="str">
            <v>zwycięzca(cy): 21:19,21:19</v>
          </cell>
        </row>
        <row r="256">
          <cell r="B256">
            <v>37</v>
          </cell>
          <cell r="C256" t="str">
            <v>dzień turnieju.</v>
          </cell>
          <cell r="I256" t="str">
            <v>Nr meczu</v>
          </cell>
          <cell r="N256" t="str">
            <v>Godz.</v>
          </cell>
          <cell r="R256" t="str">
            <v>S. prow.</v>
          </cell>
          <cell r="AF256" t="str">
            <v>wygrany</v>
          </cell>
          <cell r="AG256" t="str">
            <v>przegrany</v>
          </cell>
        </row>
        <row r="257">
          <cell r="B257" t="str">
            <v>Boisko</v>
          </cell>
          <cell r="C257" t="str">
            <v>Gra</v>
          </cell>
          <cell r="I257">
            <v>37</v>
          </cell>
          <cell r="N257" t="str">
            <v>rozp.</v>
          </cell>
          <cell r="P257" t="str">
            <v>zak.</v>
          </cell>
          <cell r="R257" t="str">
            <v>S. serw.</v>
          </cell>
        </row>
        <row r="258">
          <cell r="A258">
            <v>37</v>
          </cell>
          <cell r="C258" t="str">
            <v>Runners Up</v>
          </cell>
          <cell r="H258">
            <v>21</v>
          </cell>
          <cell r="I258">
            <v>6</v>
          </cell>
          <cell r="J258">
            <v>18</v>
          </cell>
          <cell r="K258">
            <v>21</v>
          </cell>
          <cell r="L258">
            <v>21</v>
          </cell>
          <cell r="M258">
            <v>14</v>
          </cell>
          <cell r="R258">
            <v>0</v>
          </cell>
          <cell r="S258" t="str">
            <v>godz.12:00</v>
          </cell>
          <cell r="X258">
            <v>37</v>
          </cell>
          <cell r="Y258" t="str">
            <v>Runners Up</v>
          </cell>
          <cell r="Z258" t="str">
            <v>K0022</v>
          </cell>
          <cell r="AA258" t="str">
            <v/>
          </cell>
          <cell r="AB258" t="str">
            <v>G0011</v>
          </cell>
          <cell r="AC258" t="str">
            <v/>
          </cell>
          <cell r="AD258" t="str">
            <v>K0022</v>
          </cell>
          <cell r="AE258" t="str">
            <v/>
          </cell>
          <cell r="AF258" t="str">
            <v>21:6,18:21,21:14</v>
          </cell>
          <cell r="AG258" t="str">
            <v>6:21,21:18,14:21</v>
          </cell>
          <cell r="AH258" t="str">
            <v/>
          </cell>
          <cell r="AI258">
            <v>21</v>
          </cell>
          <cell r="AJ258">
            <v>6</v>
          </cell>
          <cell r="AK258">
            <v>18</v>
          </cell>
          <cell r="AL258">
            <v>21</v>
          </cell>
          <cell r="AM258">
            <v>21</v>
          </cell>
          <cell r="AN258">
            <v>14</v>
          </cell>
        </row>
        <row r="259">
          <cell r="A259" t="str">
            <v/>
          </cell>
          <cell r="B259" t="str">
            <v>Hubert KUKOWSKI (Mielec)</v>
          </cell>
          <cell r="H259" t="str">
            <v>K0022</v>
          </cell>
          <cell r="K259" t="str">
            <v>G0011</v>
          </cell>
          <cell r="N259" t="str">
            <v>Jakub GERCZAK (Sanok)</v>
          </cell>
        </row>
        <row r="260">
          <cell r="A260" t="str">
            <v/>
          </cell>
          <cell r="B260" t="str">
            <v/>
          </cell>
          <cell r="H260" t="str">
            <v/>
          </cell>
          <cell r="K260" t="str">
            <v/>
          </cell>
          <cell r="N260" t="str">
            <v/>
          </cell>
        </row>
        <row r="262">
          <cell r="B262" t="str">
            <v>zwycięzca(cy): 21:6,18:21,21:14</v>
          </cell>
          <cell r="K262" t="str">
            <v/>
          </cell>
        </row>
        <row r="263">
          <cell r="B263">
            <v>38</v>
          </cell>
          <cell r="C263" t="str">
            <v>dzień turnieju.</v>
          </cell>
          <cell r="I263" t="str">
            <v>Nr meczu</v>
          </cell>
          <cell r="N263" t="str">
            <v>Godz.</v>
          </cell>
          <cell r="R263" t="str">
            <v>S. prow.</v>
          </cell>
          <cell r="AF263" t="str">
            <v>wygrany</v>
          </cell>
          <cell r="AG263" t="str">
            <v>przegrany</v>
          </cell>
        </row>
        <row r="264">
          <cell r="B264" t="str">
            <v>Boisko</v>
          </cell>
          <cell r="C264" t="str">
            <v>Gra</v>
          </cell>
          <cell r="I264">
            <v>38</v>
          </cell>
          <cell r="N264" t="str">
            <v>rozp.</v>
          </cell>
          <cell r="P264" t="str">
            <v>zak.</v>
          </cell>
          <cell r="R264" t="str">
            <v>S. serw.</v>
          </cell>
        </row>
        <row r="265">
          <cell r="A265">
            <v>38</v>
          </cell>
          <cell r="C265" t="str">
            <v>Runners Up</v>
          </cell>
          <cell r="H265">
            <v>15</v>
          </cell>
          <cell r="I265">
            <v>21</v>
          </cell>
          <cell r="J265">
            <v>19</v>
          </cell>
          <cell r="K265">
            <v>21</v>
          </cell>
          <cell r="R265">
            <v>0</v>
          </cell>
          <cell r="S265" t="str">
            <v>godz.12:00</v>
          </cell>
          <cell r="X265">
            <v>38</v>
          </cell>
          <cell r="Y265" t="str">
            <v>Runners Up</v>
          </cell>
          <cell r="Z265" t="str">
            <v>S0020</v>
          </cell>
          <cell r="AA265" t="str">
            <v/>
          </cell>
          <cell r="AB265" t="str">
            <v>K0012</v>
          </cell>
          <cell r="AC265" t="str">
            <v/>
          </cell>
          <cell r="AD265" t="str">
            <v>K0012</v>
          </cell>
          <cell r="AE265" t="str">
            <v/>
          </cell>
          <cell r="AF265" t="str">
            <v>21:15,21:19</v>
          </cell>
          <cell r="AG265" t="str">
            <v>15:21,19:21</v>
          </cell>
          <cell r="AH265" t="str">
            <v/>
          </cell>
          <cell r="AI265">
            <v>15</v>
          </cell>
          <cell r="AJ265">
            <v>21</v>
          </cell>
          <cell r="AK265">
            <v>19</v>
          </cell>
          <cell r="AL265">
            <v>21</v>
          </cell>
          <cell r="AM265">
            <v>0</v>
          </cell>
          <cell r="AN265">
            <v>0</v>
          </cell>
        </row>
        <row r="266">
          <cell r="A266" t="str">
            <v/>
          </cell>
          <cell r="B266" t="str">
            <v>Mariusz SŁOMBA (Mielec)</v>
          </cell>
          <cell r="H266" t="str">
            <v>S0020</v>
          </cell>
          <cell r="K266" t="str">
            <v>K0012</v>
          </cell>
          <cell r="N266" t="str">
            <v>Piotr KOTERBA (Rzeszów)</v>
          </cell>
        </row>
        <row r="267">
          <cell r="A267" t="str">
            <v/>
          </cell>
          <cell r="B267" t="str">
            <v/>
          </cell>
          <cell r="H267" t="str">
            <v/>
          </cell>
          <cell r="K267" t="str">
            <v/>
          </cell>
          <cell r="N267" t="str">
            <v/>
          </cell>
        </row>
        <row r="269">
          <cell r="B269" t="str">
            <v/>
          </cell>
          <cell r="K269" t="str">
            <v>zwycięzca(cy): 21:15,21:19</v>
          </cell>
        </row>
        <row r="270">
          <cell r="B270">
            <v>39</v>
          </cell>
          <cell r="C270" t="str">
            <v>dzień turnieju.</v>
          </cell>
          <cell r="I270" t="str">
            <v>Nr meczu</v>
          </cell>
          <cell r="N270" t="str">
            <v>Godz.</v>
          </cell>
          <cell r="R270" t="str">
            <v>S. prow.</v>
          </cell>
          <cell r="AF270" t="str">
            <v>wygrany</v>
          </cell>
          <cell r="AG270" t="str">
            <v>przegrany</v>
          </cell>
        </row>
        <row r="271">
          <cell r="B271" t="str">
            <v>Boisko</v>
          </cell>
          <cell r="C271" t="str">
            <v>Gra</v>
          </cell>
          <cell r="I271">
            <v>39</v>
          </cell>
          <cell r="N271" t="str">
            <v>rozp.</v>
          </cell>
          <cell r="P271" t="str">
            <v>zak.</v>
          </cell>
          <cell r="R271" t="str">
            <v>S. serw.</v>
          </cell>
        </row>
        <row r="272">
          <cell r="A272">
            <v>39</v>
          </cell>
          <cell r="C272" t="str">
            <v>Kobiet</v>
          </cell>
          <cell r="H272">
            <v>21</v>
          </cell>
          <cell r="I272">
            <v>7</v>
          </cell>
          <cell r="J272">
            <v>21</v>
          </cell>
          <cell r="K272">
            <v>6</v>
          </cell>
          <cell r="R272">
            <v>0</v>
          </cell>
          <cell r="S272" t="str">
            <v>godz.12:00</v>
          </cell>
          <cell r="X272">
            <v>39</v>
          </cell>
          <cell r="Y272" t="str">
            <v>Kobiet</v>
          </cell>
          <cell r="Z272" t="str">
            <v>O0006</v>
          </cell>
          <cell r="AA272" t="str">
            <v/>
          </cell>
          <cell r="AB272" t="str">
            <v>R0016</v>
          </cell>
          <cell r="AC272" t="str">
            <v/>
          </cell>
          <cell r="AD272" t="str">
            <v>O0006</v>
          </cell>
          <cell r="AE272" t="str">
            <v/>
          </cell>
          <cell r="AF272" t="str">
            <v>21:7,21:6</v>
          </cell>
          <cell r="AG272" t="str">
            <v>7:21,6:21</v>
          </cell>
          <cell r="AH272" t="str">
            <v/>
          </cell>
          <cell r="AI272">
            <v>21</v>
          </cell>
          <cell r="AJ272">
            <v>7</v>
          </cell>
          <cell r="AK272">
            <v>21</v>
          </cell>
          <cell r="AL272">
            <v>6</v>
          </cell>
          <cell r="AM272">
            <v>0</v>
          </cell>
          <cell r="AN272">
            <v>0</v>
          </cell>
        </row>
        <row r="273">
          <cell r="A273" t="str">
            <v/>
          </cell>
          <cell r="B273" t="str">
            <v>Jessica ORZECHOWICZ (Tarnowiec)</v>
          </cell>
          <cell r="H273" t="str">
            <v>O0006</v>
          </cell>
          <cell r="K273" t="str">
            <v>R0016</v>
          </cell>
          <cell r="N273" t="str">
            <v>Oliwia RYBIŃSKA (Mielec)</v>
          </cell>
        </row>
        <row r="274">
          <cell r="A274" t="str">
            <v/>
          </cell>
          <cell r="B274" t="str">
            <v/>
          </cell>
          <cell r="H274" t="str">
            <v/>
          </cell>
          <cell r="K274" t="str">
            <v/>
          </cell>
          <cell r="N274" t="str">
            <v/>
          </cell>
        </row>
        <row r="276">
          <cell r="B276" t="str">
            <v>zwycięzca(cy): 21:7,21:6</v>
          </cell>
          <cell r="K276" t="str">
            <v/>
          </cell>
        </row>
        <row r="277">
          <cell r="B277">
            <v>40</v>
          </cell>
          <cell r="C277" t="str">
            <v>dzień turnieju.</v>
          </cell>
          <cell r="I277" t="str">
            <v>Nr meczu</v>
          </cell>
          <cell r="N277" t="str">
            <v>Godz.</v>
          </cell>
          <cell r="R277" t="str">
            <v>S. prow.</v>
          </cell>
          <cell r="AF277" t="str">
            <v>wygrany</v>
          </cell>
          <cell r="AG277" t="str">
            <v>przegrany</v>
          </cell>
        </row>
        <row r="278">
          <cell r="B278" t="str">
            <v>Boisko</v>
          </cell>
          <cell r="C278" t="str">
            <v>Gra</v>
          </cell>
          <cell r="I278">
            <v>40</v>
          </cell>
          <cell r="N278" t="str">
            <v>rozp.</v>
          </cell>
          <cell r="P278" t="str">
            <v>zak.</v>
          </cell>
          <cell r="R278" t="str">
            <v>S. serw.</v>
          </cell>
        </row>
        <row r="279">
          <cell r="A279">
            <v>40</v>
          </cell>
          <cell r="C279" t="str">
            <v>Kobiet</v>
          </cell>
          <cell r="H279">
            <v>18</v>
          </cell>
          <cell r="I279">
            <v>21</v>
          </cell>
          <cell r="J279">
            <v>10</v>
          </cell>
          <cell r="K279">
            <v>21</v>
          </cell>
          <cell r="R279">
            <v>0</v>
          </cell>
          <cell r="S279" t="str">
            <v>godz.12:00</v>
          </cell>
          <cell r="X279">
            <v>40</v>
          </cell>
          <cell r="Y279" t="str">
            <v>Kobiet</v>
          </cell>
          <cell r="Z279" t="str">
            <v>G0016</v>
          </cell>
          <cell r="AA279" t="str">
            <v/>
          </cell>
          <cell r="AB279" t="str">
            <v>H0006</v>
          </cell>
          <cell r="AC279" t="str">
            <v/>
          </cell>
          <cell r="AD279" t="str">
            <v>H0006</v>
          </cell>
          <cell r="AE279" t="str">
            <v/>
          </cell>
          <cell r="AF279" t="str">
            <v>21:18,21:10</v>
          </cell>
          <cell r="AG279" t="str">
            <v>18:21,10:21</v>
          </cell>
          <cell r="AH279" t="str">
            <v/>
          </cell>
          <cell r="AI279">
            <v>18</v>
          </cell>
          <cell r="AJ279">
            <v>21</v>
          </cell>
          <cell r="AK279">
            <v>10</v>
          </cell>
          <cell r="AL279">
            <v>21</v>
          </cell>
          <cell r="AM279">
            <v>0</v>
          </cell>
          <cell r="AN279">
            <v>0</v>
          </cell>
        </row>
        <row r="280">
          <cell r="A280" t="str">
            <v/>
          </cell>
          <cell r="B280" t="str">
            <v>Wiktoria GRĄDZKA (Mielec)</v>
          </cell>
          <cell r="H280" t="str">
            <v>G0016</v>
          </cell>
          <cell r="K280" t="str">
            <v>H0006</v>
          </cell>
          <cell r="N280" t="str">
            <v>Natalia HAŁATA (Mielec)</v>
          </cell>
        </row>
        <row r="281">
          <cell r="A281" t="str">
            <v/>
          </cell>
          <cell r="B281" t="str">
            <v/>
          </cell>
          <cell r="H281" t="str">
            <v/>
          </cell>
          <cell r="K281" t="str">
            <v/>
          </cell>
          <cell r="N281" t="str">
            <v/>
          </cell>
        </row>
        <row r="283">
          <cell r="B283" t="str">
            <v/>
          </cell>
          <cell r="K283" t="str">
            <v>zwycięzca(cy): 21:18,21:10</v>
          </cell>
        </row>
        <row r="284">
          <cell r="B284">
            <v>41</v>
          </cell>
          <cell r="C284" t="str">
            <v>dzień turnieju.</v>
          </cell>
          <cell r="I284" t="str">
            <v>Nr meczu</v>
          </cell>
          <cell r="N284" t="str">
            <v>Godz.</v>
          </cell>
          <cell r="R284" t="str">
            <v>S. prow.</v>
          </cell>
          <cell r="AF284" t="str">
            <v>wygrany</v>
          </cell>
          <cell r="AG284" t="str">
            <v>przegrany</v>
          </cell>
        </row>
        <row r="285">
          <cell r="B285" t="str">
            <v>Boisko</v>
          </cell>
          <cell r="C285" t="str">
            <v>Gra</v>
          </cell>
          <cell r="I285">
            <v>41</v>
          </cell>
          <cell r="N285" t="str">
            <v>rozp.</v>
          </cell>
          <cell r="P285" t="str">
            <v>zak.</v>
          </cell>
          <cell r="R285" t="str">
            <v>S. serw.</v>
          </cell>
        </row>
        <row r="286">
          <cell r="A286">
            <v>41</v>
          </cell>
          <cell r="C286" t="str">
            <v>Kobiet</v>
          </cell>
          <cell r="H286">
            <v>21</v>
          </cell>
          <cell r="I286">
            <v>0</v>
          </cell>
          <cell r="J286">
            <v>21</v>
          </cell>
          <cell r="K286">
            <v>0</v>
          </cell>
          <cell r="R286">
            <v>0</v>
          </cell>
          <cell r="S286" t="str">
            <v>godz.12:20</v>
          </cell>
          <cell r="X286">
            <v>41</v>
          </cell>
          <cell r="Y286" t="str">
            <v>Kobiet</v>
          </cell>
          <cell r="Z286" t="str">
            <v>D0008</v>
          </cell>
          <cell r="AA286" t="str">
            <v/>
          </cell>
          <cell r="AB286" t="str">
            <v>G0016</v>
          </cell>
          <cell r="AC286" t="str">
            <v/>
          </cell>
          <cell r="AD286" t="str">
            <v>D0008</v>
          </cell>
          <cell r="AE286" t="str">
            <v/>
          </cell>
          <cell r="AF286" t="str">
            <v>21:0,21:0</v>
          </cell>
          <cell r="AG286" t="str">
            <v>0:21,0:21</v>
          </cell>
          <cell r="AH286" t="str">
            <v/>
          </cell>
          <cell r="AI286">
            <v>21</v>
          </cell>
          <cell r="AJ286">
            <v>0</v>
          </cell>
          <cell r="AK286">
            <v>21</v>
          </cell>
          <cell r="AL286">
            <v>0</v>
          </cell>
          <cell r="AM286">
            <v>0</v>
          </cell>
          <cell r="AN286">
            <v>0</v>
          </cell>
        </row>
        <row r="287">
          <cell r="A287" t="str">
            <v/>
          </cell>
          <cell r="B287" t="str">
            <v>Patrycja DOMAŃSKA (Rzeszów)</v>
          </cell>
          <cell r="H287" t="str">
            <v>D0008</v>
          </cell>
          <cell r="K287" t="str">
            <v>G0016</v>
          </cell>
          <cell r="N287" t="str">
            <v>Wiktoria GRĄDZKA (Mielec)</v>
          </cell>
        </row>
        <row r="288">
          <cell r="A288" t="str">
            <v/>
          </cell>
          <cell r="B288" t="str">
            <v/>
          </cell>
          <cell r="H288" t="str">
            <v/>
          </cell>
          <cell r="K288" t="str">
            <v/>
          </cell>
          <cell r="N288" t="str">
            <v/>
          </cell>
        </row>
        <row r="290">
          <cell r="B290" t="str">
            <v>zwycięzca(cy): 21:0,21:0</v>
          </cell>
          <cell r="K290" t="str">
            <v/>
          </cell>
        </row>
        <row r="291">
          <cell r="B291">
            <v>42</v>
          </cell>
          <cell r="C291" t="str">
            <v>dzień turnieju.</v>
          </cell>
          <cell r="I291" t="str">
            <v>Nr meczu</v>
          </cell>
          <cell r="N291" t="str">
            <v>Godz.</v>
          </cell>
          <cell r="R291" t="str">
            <v>S. prow.</v>
          </cell>
          <cell r="AF291" t="str">
            <v>wygrany</v>
          </cell>
          <cell r="AG291" t="str">
            <v>przegrany</v>
          </cell>
        </row>
        <row r="292">
          <cell r="B292" t="str">
            <v>Boisko</v>
          </cell>
          <cell r="C292" t="str">
            <v>Gra</v>
          </cell>
          <cell r="I292">
            <v>42</v>
          </cell>
          <cell r="N292" t="str">
            <v>rozp.</v>
          </cell>
          <cell r="P292" t="str">
            <v>zak.</v>
          </cell>
          <cell r="R292" t="str">
            <v>S. serw.</v>
          </cell>
        </row>
        <row r="293">
          <cell r="A293">
            <v>42</v>
          </cell>
          <cell r="C293" t="str">
            <v>Kobiet</v>
          </cell>
          <cell r="H293">
            <v>27</v>
          </cell>
          <cell r="I293">
            <v>25</v>
          </cell>
          <cell r="J293">
            <v>21</v>
          </cell>
          <cell r="K293">
            <v>16</v>
          </cell>
          <cell r="R293">
            <v>0</v>
          </cell>
          <cell r="S293" t="str">
            <v>godz.12:20</v>
          </cell>
          <cell r="X293">
            <v>42</v>
          </cell>
          <cell r="Y293" t="str">
            <v>Kobiet</v>
          </cell>
          <cell r="Z293" t="str">
            <v>H0006</v>
          </cell>
          <cell r="AA293" t="str">
            <v/>
          </cell>
          <cell r="AB293" t="str">
            <v>R0016</v>
          </cell>
          <cell r="AC293" t="str">
            <v/>
          </cell>
          <cell r="AD293" t="str">
            <v>H0006</v>
          </cell>
          <cell r="AE293" t="str">
            <v/>
          </cell>
          <cell r="AF293" t="str">
            <v>27:25,21:16</v>
          </cell>
          <cell r="AG293" t="str">
            <v>25:27,16:21</v>
          </cell>
          <cell r="AH293" t="str">
            <v/>
          </cell>
          <cell r="AI293">
            <v>27</v>
          </cell>
          <cell r="AJ293">
            <v>25</v>
          </cell>
          <cell r="AK293">
            <v>21</v>
          </cell>
          <cell r="AL293">
            <v>16</v>
          </cell>
          <cell r="AM293">
            <v>0</v>
          </cell>
          <cell r="AN293">
            <v>0</v>
          </cell>
        </row>
        <row r="294">
          <cell r="A294" t="str">
            <v/>
          </cell>
          <cell r="B294" t="str">
            <v>Natalia HAŁATA (Mielec)</v>
          </cell>
          <cell r="H294" t="str">
            <v>H0006</v>
          </cell>
          <cell r="K294" t="str">
            <v>R0016</v>
          </cell>
          <cell r="N294" t="str">
            <v>Oliwia RYBIŃSKA (Mielec)</v>
          </cell>
        </row>
        <row r="295">
          <cell r="A295" t="str">
            <v/>
          </cell>
          <cell r="B295" t="str">
            <v/>
          </cell>
          <cell r="H295" t="str">
            <v/>
          </cell>
          <cell r="K295" t="str">
            <v/>
          </cell>
          <cell r="N295" t="str">
            <v/>
          </cell>
        </row>
        <row r="297">
          <cell r="B297" t="str">
            <v>zwycięzca(cy): 27:25,21:16</v>
          </cell>
          <cell r="K297" t="str">
            <v/>
          </cell>
        </row>
        <row r="298">
          <cell r="B298">
            <v>43</v>
          </cell>
          <cell r="C298" t="str">
            <v>dzień turnieju.</v>
          </cell>
          <cell r="I298" t="str">
            <v>Nr meczu</v>
          </cell>
          <cell r="N298" t="str">
            <v>Godz.</v>
          </cell>
          <cell r="R298" t="str">
            <v>S. prow.</v>
          </cell>
          <cell r="AF298" t="str">
            <v>wygrany</v>
          </cell>
          <cell r="AG298" t="str">
            <v>przegrany</v>
          </cell>
        </row>
        <row r="299">
          <cell r="B299" t="str">
            <v>Boisko</v>
          </cell>
          <cell r="C299" t="str">
            <v>Gra</v>
          </cell>
          <cell r="I299">
            <v>43</v>
          </cell>
          <cell r="N299" t="str">
            <v>rozp.</v>
          </cell>
          <cell r="P299" t="str">
            <v>zak.</v>
          </cell>
          <cell r="R299" t="str">
            <v>S. serw.</v>
          </cell>
        </row>
        <row r="300">
          <cell r="A300">
            <v>43</v>
          </cell>
          <cell r="C300" t="str">
            <v>Kobiet</v>
          </cell>
          <cell r="H300">
            <v>7</v>
          </cell>
          <cell r="I300">
            <v>21</v>
          </cell>
          <cell r="J300">
            <v>4</v>
          </cell>
          <cell r="K300">
            <v>21</v>
          </cell>
          <cell r="R300">
            <v>0</v>
          </cell>
          <cell r="S300" t="str">
            <v>godz.12:20</v>
          </cell>
          <cell r="X300">
            <v>43</v>
          </cell>
          <cell r="Y300" t="str">
            <v>Kobiet</v>
          </cell>
          <cell r="Z300" t="str">
            <v>H0006</v>
          </cell>
          <cell r="AA300" t="str">
            <v/>
          </cell>
          <cell r="AB300" t="str">
            <v>O0006</v>
          </cell>
          <cell r="AC300" t="str">
            <v/>
          </cell>
          <cell r="AD300" t="str">
            <v>O0006</v>
          </cell>
          <cell r="AE300" t="str">
            <v/>
          </cell>
          <cell r="AF300" t="str">
            <v>21:7,21:4</v>
          </cell>
          <cell r="AG300" t="str">
            <v>7:21,4:21</v>
          </cell>
          <cell r="AH300" t="str">
            <v/>
          </cell>
          <cell r="AI300">
            <v>7</v>
          </cell>
          <cell r="AJ300">
            <v>21</v>
          </cell>
          <cell r="AK300">
            <v>4</v>
          </cell>
          <cell r="AL300">
            <v>21</v>
          </cell>
          <cell r="AM300">
            <v>0</v>
          </cell>
          <cell r="AN300">
            <v>0</v>
          </cell>
        </row>
        <row r="301">
          <cell r="A301" t="str">
            <v/>
          </cell>
          <cell r="B301" t="str">
            <v>Natalia HAŁATA (Mielec)</v>
          </cell>
          <cell r="H301" t="str">
            <v>H0006</v>
          </cell>
          <cell r="K301" t="str">
            <v>O0006</v>
          </cell>
          <cell r="N301" t="str">
            <v>Jessica ORZECHOWICZ (Tarnowiec)</v>
          </cell>
        </row>
        <row r="302">
          <cell r="A302" t="str">
            <v/>
          </cell>
          <cell r="B302" t="str">
            <v/>
          </cell>
          <cell r="H302" t="str">
            <v/>
          </cell>
          <cell r="K302" t="str">
            <v/>
          </cell>
          <cell r="N302" t="str">
            <v/>
          </cell>
        </row>
        <row r="304">
          <cell r="B304" t="str">
            <v/>
          </cell>
          <cell r="K304" t="str">
            <v>zwycięzca(cy): 21:7,21:4</v>
          </cell>
        </row>
        <row r="305">
          <cell r="B305">
            <v>44</v>
          </cell>
          <cell r="C305" t="str">
            <v>dzień turnieju.</v>
          </cell>
          <cell r="I305" t="str">
            <v>Nr meczu</v>
          </cell>
          <cell r="N305" t="str">
            <v>Godz.</v>
          </cell>
          <cell r="R305" t="str">
            <v>S. prow.</v>
          </cell>
          <cell r="AF305" t="str">
            <v>wygrany</v>
          </cell>
          <cell r="AG305" t="str">
            <v>przegrany</v>
          </cell>
        </row>
        <row r="306">
          <cell r="B306" t="str">
            <v>Boisko</v>
          </cell>
          <cell r="C306" t="str">
            <v>Gra</v>
          </cell>
          <cell r="I306">
            <v>44</v>
          </cell>
          <cell r="N306" t="str">
            <v>rozp.</v>
          </cell>
          <cell r="P306" t="str">
            <v>zak.</v>
          </cell>
          <cell r="R306" t="str">
            <v>S. serw.</v>
          </cell>
        </row>
        <row r="307">
          <cell r="A307">
            <v>44</v>
          </cell>
          <cell r="C307" t="str">
            <v>Kobiet</v>
          </cell>
          <cell r="H307">
            <v>7</v>
          </cell>
          <cell r="I307">
            <v>21</v>
          </cell>
          <cell r="J307">
            <v>5</v>
          </cell>
          <cell r="K307">
            <v>21</v>
          </cell>
          <cell r="R307">
            <v>0</v>
          </cell>
          <cell r="S307" t="str">
            <v>godz.12:20</v>
          </cell>
          <cell r="X307">
            <v>44</v>
          </cell>
          <cell r="Y307" t="str">
            <v>Kobiet</v>
          </cell>
          <cell r="Z307" t="str">
            <v>R0016</v>
          </cell>
          <cell r="AA307" t="str">
            <v/>
          </cell>
          <cell r="AB307" t="str">
            <v>D0008</v>
          </cell>
          <cell r="AC307" t="str">
            <v/>
          </cell>
          <cell r="AD307" t="str">
            <v>D0008</v>
          </cell>
          <cell r="AE307" t="str">
            <v/>
          </cell>
          <cell r="AF307" t="str">
            <v>21:7,21:5</v>
          </cell>
          <cell r="AG307" t="str">
            <v>7:21,5:21</v>
          </cell>
          <cell r="AH307" t="str">
            <v/>
          </cell>
          <cell r="AI307">
            <v>7</v>
          </cell>
          <cell r="AJ307">
            <v>21</v>
          </cell>
          <cell r="AK307">
            <v>5</v>
          </cell>
          <cell r="AL307">
            <v>21</v>
          </cell>
          <cell r="AM307">
            <v>0</v>
          </cell>
          <cell r="AN307">
            <v>0</v>
          </cell>
        </row>
        <row r="308">
          <cell r="A308" t="str">
            <v/>
          </cell>
          <cell r="B308" t="str">
            <v>Oliwia RYBIŃSKA (Mielec)</v>
          </cell>
          <cell r="H308" t="str">
            <v>R0016</v>
          </cell>
          <cell r="K308" t="str">
            <v>D0008</v>
          </cell>
          <cell r="N308" t="str">
            <v>Patrycja DOMAŃSKA (Rzeszów)</v>
          </cell>
        </row>
        <row r="309">
          <cell r="A309" t="str">
            <v/>
          </cell>
          <cell r="B309" t="str">
            <v/>
          </cell>
          <cell r="H309" t="str">
            <v/>
          </cell>
          <cell r="K309" t="str">
            <v/>
          </cell>
          <cell r="N309" t="str">
            <v/>
          </cell>
        </row>
        <row r="311">
          <cell r="B311" t="str">
            <v/>
          </cell>
          <cell r="K311" t="str">
            <v>zwycięzca(cy): 21:7,21:5</v>
          </cell>
        </row>
        <row r="312">
          <cell r="B312">
            <v>45</v>
          </cell>
          <cell r="C312" t="str">
            <v>dzień turnieju.</v>
          </cell>
          <cell r="I312" t="str">
            <v>Nr meczu</v>
          </cell>
          <cell r="N312" t="str">
            <v>Godz.</v>
          </cell>
          <cell r="R312" t="str">
            <v>S. prow.</v>
          </cell>
          <cell r="AF312" t="str">
            <v>wygrany</v>
          </cell>
          <cell r="AG312" t="str">
            <v>przegrany</v>
          </cell>
        </row>
        <row r="313">
          <cell r="B313" t="str">
            <v>Boisko</v>
          </cell>
          <cell r="C313" t="str">
            <v>Gra</v>
          </cell>
          <cell r="I313">
            <v>45</v>
          </cell>
          <cell r="N313" t="str">
            <v>rozp.</v>
          </cell>
          <cell r="P313" t="str">
            <v>zak.</v>
          </cell>
          <cell r="R313" t="str">
            <v>S. serw.</v>
          </cell>
        </row>
        <row r="314">
          <cell r="A314">
            <v>45</v>
          </cell>
          <cell r="C314" t="str">
            <v>Kobiet</v>
          </cell>
          <cell r="H314">
            <v>6</v>
          </cell>
          <cell r="I314">
            <v>21</v>
          </cell>
          <cell r="J314">
            <v>5</v>
          </cell>
          <cell r="K314">
            <v>21</v>
          </cell>
          <cell r="R314">
            <v>0</v>
          </cell>
          <cell r="S314" t="str">
            <v>godz.12:40</v>
          </cell>
          <cell r="X314">
            <v>45</v>
          </cell>
          <cell r="Y314" t="str">
            <v>Kobiet</v>
          </cell>
          <cell r="Z314" t="str">
            <v>H0006</v>
          </cell>
          <cell r="AA314" t="str">
            <v/>
          </cell>
          <cell r="AB314" t="str">
            <v>D0008</v>
          </cell>
          <cell r="AC314" t="str">
            <v/>
          </cell>
          <cell r="AD314" t="str">
            <v>D0008</v>
          </cell>
          <cell r="AE314" t="str">
            <v/>
          </cell>
          <cell r="AF314" t="str">
            <v>21:6,21:5</v>
          </cell>
          <cell r="AG314" t="str">
            <v>6:21,5:21</v>
          </cell>
          <cell r="AH314" t="str">
            <v/>
          </cell>
          <cell r="AI314">
            <v>6</v>
          </cell>
          <cell r="AJ314">
            <v>21</v>
          </cell>
          <cell r="AK314">
            <v>5</v>
          </cell>
          <cell r="AL314">
            <v>21</v>
          </cell>
          <cell r="AM314">
            <v>0</v>
          </cell>
          <cell r="AN314">
            <v>0</v>
          </cell>
        </row>
        <row r="315">
          <cell r="A315" t="str">
            <v/>
          </cell>
          <cell r="B315" t="str">
            <v>Natalia HAŁATA (Mielec)</v>
          </cell>
          <cell r="H315" t="str">
            <v>H0006</v>
          </cell>
          <cell r="K315" t="str">
            <v>D0008</v>
          </cell>
          <cell r="N315" t="str">
            <v>Patrycja DOMAŃSKA (Rzeszów)</v>
          </cell>
        </row>
        <row r="316">
          <cell r="A316" t="str">
            <v/>
          </cell>
          <cell r="B316" t="str">
            <v/>
          </cell>
          <cell r="H316" t="str">
            <v/>
          </cell>
          <cell r="K316" t="str">
            <v/>
          </cell>
          <cell r="N316" t="str">
            <v/>
          </cell>
        </row>
        <row r="318">
          <cell r="B318" t="str">
            <v/>
          </cell>
          <cell r="K318" t="str">
            <v>zwycięzca(cy): 21:6,21:5</v>
          </cell>
        </row>
        <row r="319">
          <cell r="B319">
            <v>46</v>
          </cell>
          <cell r="C319" t="str">
            <v>dzień turnieju.</v>
          </cell>
          <cell r="I319" t="str">
            <v>Nr meczu</v>
          </cell>
          <cell r="N319" t="str">
            <v>Godz.</v>
          </cell>
          <cell r="R319" t="str">
            <v>S. prow.</v>
          </cell>
          <cell r="AF319" t="str">
            <v>wygrany</v>
          </cell>
          <cell r="AG319" t="str">
            <v>przegrany</v>
          </cell>
        </row>
        <row r="320">
          <cell r="B320" t="str">
            <v>Boisko</v>
          </cell>
          <cell r="C320" t="str">
            <v>Gra</v>
          </cell>
          <cell r="I320">
            <v>46</v>
          </cell>
          <cell r="N320" t="str">
            <v>rozp.</v>
          </cell>
          <cell r="P320" t="str">
            <v>zak.</v>
          </cell>
          <cell r="R320" t="str">
            <v>S. serw.</v>
          </cell>
        </row>
        <row r="321">
          <cell r="A321">
            <v>46</v>
          </cell>
          <cell r="C321" t="str">
            <v>Kobiet</v>
          </cell>
          <cell r="H321">
            <v>21</v>
          </cell>
          <cell r="I321">
            <v>0</v>
          </cell>
          <cell r="J321">
            <v>21</v>
          </cell>
          <cell r="K321">
            <v>0</v>
          </cell>
          <cell r="R321">
            <v>0</v>
          </cell>
          <cell r="S321" t="str">
            <v>godz.12:40</v>
          </cell>
          <cell r="X321">
            <v>46</v>
          </cell>
          <cell r="Y321" t="str">
            <v>Kobiet</v>
          </cell>
          <cell r="Z321" t="str">
            <v>O0006</v>
          </cell>
          <cell r="AA321" t="str">
            <v/>
          </cell>
          <cell r="AB321" t="str">
            <v>G0016</v>
          </cell>
          <cell r="AC321" t="str">
            <v/>
          </cell>
          <cell r="AD321" t="str">
            <v>O0006</v>
          </cell>
          <cell r="AE321" t="str">
            <v/>
          </cell>
          <cell r="AF321" t="str">
            <v>21:0,21:0</v>
          </cell>
          <cell r="AG321" t="str">
            <v>0:21,0:21</v>
          </cell>
          <cell r="AH321" t="str">
            <v/>
          </cell>
          <cell r="AI321">
            <v>21</v>
          </cell>
          <cell r="AJ321">
            <v>0</v>
          </cell>
          <cell r="AK321">
            <v>21</v>
          </cell>
          <cell r="AL321">
            <v>0</v>
          </cell>
          <cell r="AM321">
            <v>0</v>
          </cell>
          <cell r="AN321">
            <v>0</v>
          </cell>
        </row>
        <row r="322">
          <cell r="A322" t="str">
            <v/>
          </cell>
          <cell r="B322" t="str">
            <v>Jessica ORZECHOWICZ (Tarnowiec)</v>
          </cell>
          <cell r="H322" t="str">
            <v>O0006</v>
          </cell>
          <cell r="K322" t="str">
            <v>G0016</v>
          </cell>
          <cell r="N322" t="str">
            <v>Wiktoria GRĄDZKA (Mielec)</v>
          </cell>
        </row>
        <row r="323">
          <cell r="A323" t="str">
            <v/>
          </cell>
          <cell r="B323" t="str">
            <v/>
          </cell>
          <cell r="H323" t="str">
            <v/>
          </cell>
          <cell r="K323" t="str">
            <v/>
          </cell>
          <cell r="N323" t="str">
            <v/>
          </cell>
        </row>
        <row r="325">
          <cell r="B325" t="str">
            <v>zwycięzca(cy): 21:0,21:0</v>
          </cell>
          <cell r="K325" t="str">
            <v/>
          </cell>
        </row>
        <row r="326">
          <cell r="B326">
            <v>47</v>
          </cell>
          <cell r="C326" t="str">
            <v>dzień turnieju.</v>
          </cell>
          <cell r="I326" t="str">
            <v>Nr meczu</v>
          </cell>
          <cell r="N326" t="str">
            <v>Godz.</v>
          </cell>
          <cell r="R326" t="str">
            <v>S. prow.</v>
          </cell>
          <cell r="AF326" t="str">
            <v>wygrany</v>
          </cell>
          <cell r="AG326" t="str">
            <v>przegrany</v>
          </cell>
        </row>
        <row r="327">
          <cell r="B327" t="str">
            <v>Boisko</v>
          </cell>
          <cell r="C327" t="str">
            <v>Gra</v>
          </cell>
          <cell r="I327">
            <v>47</v>
          </cell>
          <cell r="N327" t="str">
            <v>rozp.</v>
          </cell>
          <cell r="P327" t="str">
            <v>zak.</v>
          </cell>
          <cell r="R327" t="str">
            <v>S. serw.</v>
          </cell>
        </row>
        <row r="328">
          <cell r="A328">
            <v>47</v>
          </cell>
          <cell r="C328" t="str">
            <v>Kobiet</v>
          </cell>
          <cell r="H328">
            <v>21</v>
          </cell>
          <cell r="I328">
            <v>11</v>
          </cell>
          <cell r="J328">
            <v>21</v>
          </cell>
          <cell r="K328">
            <v>9</v>
          </cell>
          <cell r="R328">
            <v>0</v>
          </cell>
          <cell r="S328" t="str">
            <v>godz.12:40</v>
          </cell>
          <cell r="X328">
            <v>47</v>
          </cell>
          <cell r="Y328" t="str">
            <v>Kobiet</v>
          </cell>
          <cell r="Z328" t="str">
            <v>R0016</v>
          </cell>
          <cell r="AA328" t="str">
            <v/>
          </cell>
          <cell r="AB328" t="str">
            <v>G0016</v>
          </cell>
          <cell r="AC328" t="str">
            <v/>
          </cell>
          <cell r="AD328" t="str">
            <v>R0016</v>
          </cell>
          <cell r="AE328" t="str">
            <v/>
          </cell>
          <cell r="AF328" t="str">
            <v>21:11,21:9</v>
          </cell>
          <cell r="AG328" t="str">
            <v>11:21,9:21</v>
          </cell>
          <cell r="AH328" t="str">
            <v/>
          </cell>
          <cell r="AI328">
            <v>21</v>
          </cell>
          <cell r="AJ328">
            <v>11</v>
          </cell>
          <cell r="AK328">
            <v>21</v>
          </cell>
          <cell r="AL328">
            <v>9</v>
          </cell>
          <cell r="AM328">
            <v>0</v>
          </cell>
          <cell r="AN328">
            <v>0</v>
          </cell>
        </row>
        <row r="329">
          <cell r="A329" t="str">
            <v/>
          </cell>
          <cell r="B329" t="str">
            <v>Oliwia RYBIŃSKA (Mielec)</v>
          </cell>
          <cell r="H329" t="str">
            <v>R0016</v>
          </cell>
          <cell r="K329" t="str">
            <v>G0016</v>
          </cell>
          <cell r="N329" t="str">
            <v>Wiktoria GRĄDZKA (Mielec)</v>
          </cell>
        </row>
        <row r="330">
          <cell r="A330" t="str">
            <v/>
          </cell>
          <cell r="B330" t="str">
            <v/>
          </cell>
          <cell r="H330" t="str">
            <v/>
          </cell>
          <cell r="K330" t="str">
            <v/>
          </cell>
          <cell r="N330" t="str">
            <v/>
          </cell>
        </row>
        <row r="332">
          <cell r="B332" t="str">
            <v>zwycięzca(cy): 21:11,21:9</v>
          </cell>
          <cell r="K332" t="str">
            <v/>
          </cell>
        </row>
        <row r="333">
          <cell r="B333">
            <v>48</v>
          </cell>
          <cell r="C333" t="str">
            <v>dzień turnieju.</v>
          </cell>
          <cell r="I333" t="str">
            <v>Nr meczu</v>
          </cell>
          <cell r="N333" t="str">
            <v>Godz.</v>
          </cell>
          <cell r="R333" t="str">
            <v>S. prow.</v>
          </cell>
          <cell r="AF333" t="str">
            <v>wygrany</v>
          </cell>
          <cell r="AG333" t="str">
            <v>przegrany</v>
          </cell>
        </row>
        <row r="334">
          <cell r="B334" t="str">
            <v>Boisko</v>
          </cell>
          <cell r="C334" t="str">
            <v>Gra</v>
          </cell>
          <cell r="I334">
            <v>48</v>
          </cell>
          <cell r="N334" t="str">
            <v>rozp.</v>
          </cell>
          <cell r="P334" t="str">
            <v>zak.</v>
          </cell>
          <cell r="R334" t="str">
            <v>S. serw.</v>
          </cell>
        </row>
        <row r="335">
          <cell r="A335">
            <v>48</v>
          </cell>
          <cell r="C335" t="str">
            <v>Kobiet</v>
          </cell>
          <cell r="H335">
            <v>22</v>
          </cell>
          <cell r="I335">
            <v>20</v>
          </cell>
          <cell r="J335">
            <v>19</v>
          </cell>
          <cell r="K335">
            <v>21</v>
          </cell>
          <cell r="L335">
            <v>14</v>
          </cell>
          <cell r="M335">
            <v>21</v>
          </cell>
          <cell r="R335">
            <v>0</v>
          </cell>
          <cell r="S335" t="str">
            <v>godz.12:40</v>
          </cell>
          <cell r="X335">
            <v>48</v>
          </cell>
          <cell r="Y335" t="str">
            <v>Kobiet</v>
          </cell>
          <cell r="Z335" t="str">
            <v>D0008</v>
          </cell>
          <cell r="AA335" t="str">
            <v/>
          </cell>
          <cell r="AB335" t="str">
            <v>O0006</v>
          </cell>
          <cell r="AC335" t="str">
            <v/>
          </cell>
          <cell r="AD335" t="str">
            <v>O0006</v>
          </cell>
          <cell r="AE335" t="str">
            <v/>
          </cell>
          <cell r="AF335" t="str">
            <v>20:22,21:19,21:14</v>
          </cell>
          <cell r="AG335" t="str">
            <v>22:20,19:21,14:21</v>
          </cell>
          <cell r="AH335" t="str">
            <v/>
          </cell>
          <cell r="AI335">
            <v>22</v>
          </cell>
          <cell r="AJ335">
            <v>20</v>
          </cell>
          <cell r="AK335">
            <v>19</v>
          </cell>
          <cell r="AL335">
            <v>21</v>
          </cell>
          <cell r="AM335">
            <v>14</v>
          </cell>
          <cell r="AN335">
            <v>21</v>
          </cell>
        </row>
        <row r="336">
          <cell r="A336" t="str">
            <v/>
          </cell>
          <cell r="B336" t="str">
            <v>Patrycja DOMAŃSKA (Rzeszów)</v>
          </cell>
          <cell r="H336" t="str">
            <v>D0008</v>
          </cell>
          <cell r="K336" t="str">
            <v>O0006</v>
          </cell>
          <cell r="N336" t="str">
            <v>Jessica ORZECHOWICZ (Tarnowiec)</v>
          </cell>
        </row>
        <row r="337">
          <cell r="A337" t="str">
            <v/>
          </cell>
          <cell r="B337" t="str">
            <v/>
          </cell>
          <cell r="H337" t="str">
            <v/>
          </cell>
          <cell r="K337" t="str">
            <v/>
          </cell>
          <cell r="N337" t="str">
            <v/>
          </cell>
        </row>
        <row r="339">
          <cell r="B339" t="str">
            <v/>
          </cell>
          <cell r="K339" t="str">
            <v>zwycięzca(cy): 20:22,21:19,21:14</v>
          </cell>
        </row>
        <row r="340">
          <cell r="B340">
            <v>49</v>
          </cell>
          <cell r="C340" t="str">
            <v>dzień turnieju.</v>
          </cell>
          <cell r="I340" t="str">
            <v>Nr meczu</v>
          </cell>
          <cell r="N340" t="str">
            <v>Godz.</v>
          </cell>
          <cell r="R340" t="str">
            <v>S. prow.</v>
          </cell>
          <cell r="AF340" t="str">
            <v>wygrany</v>
          </cell>
          <cell r="AG340" t="str">
            <v>przegrany</v>
          </cell>
        </row>
        <row r="341">
          <cell r="B341" t="str">
            <v>Boisko</v>
          </cell>
          <cell r="C341" t="str">
            <v>Gra</v>
          </cell>
          <cell r="I341">
            <v>49</v>
          </cell>
          <cell r="N341" t="str">
            <v>rozp.</v>
          </cell>
          <cell r="P341" t="str">
            <v>zak.</v>
          </cell>
          <cell r="R341" t="str">
            <v>S. serw.</v>
          </cell>
        </row>
        <row r="342">
          <cell r="A342">
            <v>49</v>
          </cell>
          <cell r="C342" t="str">
            <v>Old Boys</v>
          </cell>
          <cell r="H342">
            <v>21</v>
          </cell>
          <cell r="I342">
            <v>14</v>
          </cell>
          <cell r="J342">
            <v>21</v>
          </cell>
          <cell r="K342">
            <v>12</v>
          </cell>
          <cell r="R342">
            <v>0</v>
          </cell>
          <cell r="S342" t="str">
            <v>godz.13:00</v>
          </cell>
          <cell r="X342">
            <v>49</v>
          </cell>
          <cell r="Y342" t="str">
            <v>Old Boys</v>
          </cell>
          <cell r="Z342" t="str">
            <v>K0003</v>
          </cell>
          <cell r="AA342" t="str">
            <v/>
          </cell>
          <cell r="AB342" t="str">
            <v>K0038</v>
          </cell>
          <cell r="AC342" t="str">
            <v/>
          </cell>
          <cell r="AD342" t="str">
            <v>K0003</v>
          </cell>
          <cell r="AE342" t="str">
            <v/>
          </cell>
          <cell r="AF342" t="str">
            <v>21:14,21:12</v>
          </cell>
          <cell r="AG342" t="str">
            <v>14:21,12:21</v>
          </cell>
          <cell r="AH342" t="str">
            <v/>
          </cell>
          <cell r="AI342">
            <v>21</v>
          </cell>
          <cell r="AJ342">
            <v>14</v>
          </cell>
          <cell r="AK342">
            <v>21</v>
          </cell>
          <cell r="AL342">
            <v>12</v>
          </cell>
          <cell r="AM342">
            <v>0</v>
          </cell>
          <cell r="AN342">
            <v>0</v>
          </cell>
        </row>
        <row r="343">
          <cell r="A343" t="str">
            <v/>
          </cell>
          <cell r="B343" t="str">
            <v>Robert KARNASIEWICZ (Mielec)</v>
          </cell>
          <cell r="H343" t="str">
            <v>K0003</v>
          </cell>
          <cell r="K343" t="str">
            <v>K0038</v>
          </cell>
          <cell r="N343" t="str">
            <v>Wojciech KWOLEK (Mielec)</v>
          </cell>
        </row>
        <row r="344">
          <cell r="A344" t="str">
            <v/>
          </cell>
          <cell r="B344" t="str">
            <v/>
          </cell>
          <cell r="H344" t="str">
            <v/>
          </cell>
          <cell r="K344" t="str">
            <v/>
          </cell>
          <cell r="N344" t="str">
            <v/>
          </cell>
        </row>
        <row r="346">
          <cell r="B346" t="str">
            <v>zwycięzca(cy): 21:14,21:12</v>
          </cell>
          <cell r="K346" t="str">
            <v/>
          </cell>
        </row>
        <row r="347">
          <cell r="B347">
            <v>50</v>
          </cell>
          <cell r="C347" t="str">
            <v>dzień turnieju.</v>
          </cell>
          <cell r="I347" t="str">
            <v>Nr meczu</v>
          </cell>
          <cell r="N347" t="str">
            <v>Godz.</v>
          </cell>
          <cell r="R347" t="str">
            <v>S. prow.</v>
          </cell>
          <cell r="AF347" t="str">
            <v>wygrany</v>
          </cell>
          <cell r="AG347" t="str">
            <v>przegrany</v>
          </cell>
        </row>
        <row r="348">
          <cell r="B348" t="str">
            <v>Boisko</v>
          </cell>
          <cell r="C348" t="str">
            <v>Gra</v>
          </cell>
          <cell r="I348">
            <v>50</v>
          </cell>
          <cell r="N348" t="str">
            <v>rozp.</v>
          </cell>
          <cell r="P348" t="str">
            <v>zak.</v>
          </cell>
          <cell r="R348" t="str">
            <v>S. serw.</v>
          </cell>
        </row>
        <row r="349">
          <cell r="A349">
            <v>50</v>
          </cell>
          <cell r="C349" t="str">
            <v>Old Boys</v>
          </cell>
          <cell r="H349">
            <v>15</v>
          </cell>
          <cell r="I349">
            <v>21</v>
          </cell>
          <cell r="J349">
            <v>21</v>
          </cell>
          <cell r="K349">
            <v>19</v>
          </cell>
          <cell r="L349">
            <v>18</v>
          </cell>
          <cell r="M349">
            <v>21</v>
          </cell>
          <cell r="R349">
            <v>0</v>
          </cell>
          <cell r="S349" t="str">
            <v>godz.13:00</v>
          </cell>
          <cell r="X349">
            <v>50</v>
          </cell>
          <cell r="Y349" t="str">
            <v>Old Boys</v>
          </cell>
          <cell r="Z349" t="str">
            <v>O0001</v>
          </cell>
          <cell r="AA349" t="str">
            <v/>
          </cell>
          <cell r="AB349" t="str">
            <v>K0038</v>
          </cell>
          <cell r="AC349" t="str">
            <v/>
          </cell>
          <cell r="AD349" t="str">
            <v>K0038</v>
          </cell>
          <cell r="AE349" t="str">
            <v/>
          </cell>
          <cell r="AF349" t="str">
            <v>21:15,19:21,21:18</v>
          </cell>
          <cell r="AG349" t="str">
            <v>15:21,21:19,18:21</v>
          </cell>
          <cell r="AH349" t="str">
            <v/>
          </cell>
          <cell r="AI349">
            <v>15</v>
          </cell>
          <cell r="AJ349">
            <v>21</v>
          </cell>
          <cell r="AK349">
            <v>21</v>
          </cell>
          <cell r="AL349">
            <v>19</v>
          </cell>
          <cell r="AM349">
            <v>18</v>
          </cell>
          <cell r="AN349">
            <v>21</v>
          </cell>
        </row>
        <row r="350">
          <cell r="A350" t="str">
            <v/>
          </cell>
          <cell r="B350" t="str">
            <v>Krzysztof OSTROWSKI (Mielec)</v>
          </cell>
          <cell r="H350" t="str">
            <v>O0001</v>
          </cell>
          <cell r="K350" t="str">
            <v>K0038</v>
          </cell>
          <cell r="N350" t="str">
            <v>Wojciech KWOLEK (Mielec)</v>
          </cell>
        </row>
        <row r="351">
          <cell r="A351" t="str">
            <v/>
          </cell>
          <cell r="B351" t="str">
            <v/>
          </cell>
          <cell r="H351" t="str">
            <v/>
          </cell>
          <cell r="K351" t="str">
            <v/>
          </cell>
          <cell r="N351" t="str">
            <v/>
          </cell>
        </row>
        <row r="353">
          <cell r="B353" t="str">
            <v/>
          </cell>
          <cell r="K353" t="str">
            <v>zwycięzca(cy): 21:15,19:21,21:18</v>
          </cell>
        </row>
        <row r="354">
          <cell r="B354">
            <v>51</v>
          </cell>
          <cell r="C354" t="str">
            <v>dzień turnieju.</v>
          </cell>
          <cell r="I354" t="str">
            <v>Nr meczu</v>
          </cell>
          <cell r="N354" t="str">
            <v>Godz.</v>
          </cell>
          <cell r="R354" t="str">
            <v>S. prow.</v>
          </cell>
          <cell r="AF354" t="str">
            <v>wygrany</v>
          </cell>
          <cell r="AG354" t="str">
            <v>przegrany</v>
          </cell>
        </row>
        <row r="355">
          <cell r="B355" t="str">
            <v>Boisko</v>
          </cell>
          <cell r="C355" t="str">
            <v>Gra</v>
          </cell>
          <cell r="I355">
            <v>51</v>
          </cell>
          <cell r="N355" t="str">
            <v>rozp.</v>
          </cell>
          <cell r="P355" t="str">
            <v>zak.</v>
          </cell>
          <cell r="R355" t="str">
            <v>S. serw.</v>
          </cell>
        </row>
        <row r="356">
          <cell r="A356">
            <v>51</v>
          </cell>
          <cell r="C356" t="str">
            <v>Old Boys</v>
          </cell>
          <cell r="H356">
            <v>21</v>
          </cell>
          <cell r="I356">
            <v>12</v>
          </cell>
          <cell r="J356">
            <v>21</v>
          </cell>
          <cell r="K356">
            <v>15</v>
          </cell>
          <cell r="R356">
            <v>0</v>
          </cell>
          <cell r="S356" t="str">
            <v>godz.13:00</v>
          </cell>
          <cell r="X356">
            <v>51</v>
          </cell>
          <cell r="Y356" t="str">
            <v>Old Boys</v>
          </cell>
          <cell r="Z356" t="str">
            <v>K0003</v>
          </cell>
          <cell r="AA356" t="str">
            <v/>
          </cell>
          <cell r="AB356" t="str">
            <v>O0001</v>
          </cell>
          <cell r="AC356" t="str">
            <v/>
          </cell>
          <cell r="AD356" t="str">
            <v>K0003</v>
          </cell>
          <cell r="AE356" t="str">
            <v/>
          </cell>
          <cell r="AF356" t="str">
            <v>21:12,21:15</v>
          </cell>
          <cell r="AG356" t="str">
            <v>12:21,15:21</v>
          </cell>
          <cell r="AH356" t="str">
            <v/>
          </cell>
          <cell r="AI356">
            <v>21</v>
          </cell>
          <cell r="AJ356">
            <v>12</v>
          </cell>
          <cell r="AK356">
            <v>21</v>
          </cell>
          <cell r="AL356">
            <v>15</v>
          </cell>
          <cell r="AM356">
            <v>0</v>
          </cell>
          <cell r="AN356">
            <v>0</v>
          </cell>
        </row>
        <row r="357">
          <cell r="A357" t="str">
            <v/>
          </cell>
          <cell r="B357" t="str">
            <v>Robert KARNASIEWICZ (Mielec)</v>
          </cell>
          <cell r="H357" t="str">
            <v>K0003</v>
          </cell>
          <cell r="K357" t="str">
            <v>O0001</v>
          </cell>
          <cell r="N357" t="str">
            <v>Krzysztof OSTROWSKI (Mielec)</v>
          </cell>
        </row>
        <row r="358">
          <cell r="A358" t="str">
            <v/>
          </cell>
          <cell r="B358" t="str">
            <v/>
          </cell>
          <cell r="H358" t="str">
            <v/>
          </cell>
          <cell r="K358" t="str">
            <v/>
          </cell>
          <cell r="N358" t="str">
            <v/>
          </cell>
        </row>
        <row r="360">
          <cell r="B360" t="str">
            <v>zwycięzca(cy): 21:12,21:15</v>
          </cell>
          <cell r="K360" t="str">
            <v/>
          </cell>
        </row>
        <row r="361">
          <cell r="B361">
            <v>52</v>
          </cell>
          <cell r="C361" t="str">
            <v>dzień turnieju.</v>
          </cell>
          <cell r="I361" t="str">
            <v>Nr meczu</v>
          </cell>
          <cell r="N361" t="str">
            <v>Godz.</v>
          </cell>
          <cell r="R361" t="str">
            <v>S. prow.</v>
          </cell>
          <cell r="AF361" t="str">
            <v>wygrany</v>
          </cell>
          <cell r="AG361" t="str">
            <v>przegrany</v>
          </cell>
        </row>
        <row r="362">
          <cell r="B362" t="str">
            <v>Boisko</v>
          </cell>
          <cell r="C362" t="str">
            <v>Gra</v>
          </cell>
          <cell r="I362">
            <v>52</v>
          </cell>
          <cell r="N362" t="str">
            <v>rozp.</v>
          </cell>
          <cell r="P362" t="str">
            <v>zak.</v>
          </cell>
          <cell r="R362" t="str">
            <v>S. serw.</v>
          </cell>
        </row>
        <row r="363">
          <cell r="A363">
            <v>52</v>
          </cell>
          <cell r="C363" t="str">
            <v>Open</v>
          </cell>
          <cell r="H363">
            <v>21</v>
          </cell>
          <cell r="I363">
            <v>4</v>
          </cell>
          <cell r="J363">
            <v>27</v>
          </cell>
          <cell r="K363">
            <v>25</v>
          </cell>
          <cell r="R363">
            <v>0</v>
          </cell>
          <cell r="S363" t="str">
            <v>godz.13:00</v>
          </cell>
          <cell r="X363">
            <v>52</v>
          </cell>
          <cell r="Y363" t="str">
            <v>Open</v>
          </cell>
          <cell r="Z363" t="str">
            <v>I0002</v>
          </cell>
          <cell r="AA363" t="str">
            <v/>
          </cell>
          <cell r="AB363" t="str">
            <v>S0020</v>
          </cell>
          <cell r="AC363" t="str">
            <v/>
          </cell>
          <cell r="AD363" t="str">
            <v>I0002</v>
          </cell>
          <cell r="AE363" t="str">
            <v/>
          </cell>
          <cell r="AF363" t="str">
            <v>21:4,27:25</v>
          </cell>
          <cell r="AG363" t="str">
            <v>4:21,25:27</v>
          </cell>
          <cell r="AH363" t="str">
            <v/>
          </cell>
          <cell r="AI363">
            <v>21</v>
          </cell>
          <cell r="AJ363">
            <v>4</v>
          </cell>
          <cell r="AK363">
            <v>27</v>
          </cell>
          <cell r="AL363">
            <v>25</v>
          </cell>
          <cell r="AM363">
            <v>0</v>
          </cell>
          <cell r="AN363">
            <v>0</v>
          </cell>
        </row>
        <row r="364">
          <cell r="A364" t="str">
            <v/>
          </cell>
          <cell r="B364" t="str">
            <v>Igor IWAŃSKI (Mielec)</v>
          </cell>
          <cell r="H364" t="str">
            <v>I0002</v>
          </cell>
          <cell r="K364" t="str">
            <v>S0020</v>
          </cell>
          <cell r="N364" t="str">
            <v>Mariusz SŁOMBA (Mielec)</v>
          </cell>
        </row>
        <row r="365">
          <cell r="A365" t="str">
            <v/>
          </cell>
          <cell r="B365" t="str">
            <v/>
          </cell>
          <cell r="H365" t="str">
            <v/>
          </cell>
          <cell r="K365" t="str">
            <v/>
          </cell>
          <cell r="N365" t="str">
            <v/>
          </cell>
        </row>
        <row r="367">
          <cell r="B367" t="str">
            <v>zwycięzca(cy): 21:4,27:25</v>
          </cell>
          <cell r="K367" t="str">
            <v/>
          </cell>
        </row>
        <row r="368">
          <cell r="B368">
            <v>53</v>
          </cell>
          <cell r="C368" t="str">
            <v>dzień turnieju.</v>
          </cell>
          <cell r="I368" t="str">
            <v>Nr meczu</v>
          </cell>
          <cell r="N368" t="str">
            <v>Godz.</v>
          </cell>
          <cell r="R368" t="str">
            <v>S. prow.</v>
          </cell>
          <cell r="AF368" t="str">
            <v>wygrany</v>
          </cell>
          <cell r="AG368" t="str">
            <v>przegrany</v>
          </cell>
        </row>
        <row r="369">
          <cell r="B369" t="str">
            <v>Boisko</v>
          </cell>
          <cell r="C369" t="str">
            <v>Gra</v>
          </cell>
          <cell r="I369">
            <v>53</v>
          </cell>
          <cell r="N369" t="str">
            <v>rozp.</v>
          </cell>
          <cell r="P369" t="str">
            <v>zak.</v>
          </cell>
          <cell r="R369" t="str">
            <v>S. serw.</v>
          </cell>
        </row>
        <row r="370">
          <cell r="A370">
            <v>53</v>
          </cell>
          <cell r="C370" t="str">
            <v>Open</v>
          </cell>
          <cell r="H370">
            <v>12</v>
          </cell>
          <cell r="I370">
            <v>21</v>
          </cell>
          <cell r="J370">
            <v>21</v>
          </cell>
          <cell r="K370">
            <v>16</v>
          </cell>
          <cell r="L370">
            <v>19</v>
          </cell>
          <cell r="M370">
            <v>21</v>
          </cell>
          <cell r="R370">
            <v>0</v>
          </cell>
          <cell r="S370" t="str">
            <v>godz.13:20</v>
          </cell>
          <cell r="X370">
            <v>53</v>
          </cell>
          <cell r="Y370" t="str">
            <v>Open</v>
          </cell>
          <cell r="Z370" t="str">
            <v>S0030</v>
          </cell>
          <cell r="AA370" t="str">
            <v/>
          </cell>
          <cell r="AB370" t="str">
            <v>K0011</v>
          </cell>
          <cell r="AC370" t="str">
            <v/>
          </cell>
          <cell r="AD370" t="str">
            <v>K0011</v>
          </cell>
          <cell r="AE370" t="str">
            <v/>
          </cell>
          <cell r="AF370" t="str">
            <v>21:12,16:21,21:19</v>
          </cell>
          <cell r="AG370" t="str">
            <v>12:21,21:16,19:21</v>
          </cell>
          <cell r="AH370" t="str">
            <v/>
          </cell>
          <cell r="AI370">
            <v>12</v>
          </cell>
          <cell r="AJ370">
            <v>21</v>
          </cell>
          <cell r="AK370">
            <v>21</v>
          </cell>
          <cell r="AL370">
            <v>16</v>
          </cell>
          <cell r="AM370">
            <v>19</v>
          </cell>
          <cell r="AN370">
            <v>21</v>
          </cell>
        </row>
        <row r="371">
          <cell r="A371" t="str">
            <v/>
          </cell>
          <cell r="B371" t="str">
            <v>Karol SZYMURA (Szczucin)</v>
          </cell>
          <cell r="H371" t="str">
            <v>S0030</v>
          </cell>
          <cell r="K371" t="str">
            <v>K0011</v>
          </cell>
          <cell r="N371" t="str">
            <v>Bartłomiej KOŚMIDER (Szczucin)</v>
          </cell>
        </row>
        <row r="372">
          <cell r="A372" t="str">
            <v/>
          </cell>
          <cell r="B372" t="str">
            <v/>
          </cell>
          <cell r="H372" t="str">
            <v/>
          </cell>
          <cell r="K372" t="str">
            <v/>
          </cell>
          <cell r="N372" t="str">
            <v/>
          </cell>
        </row>
        <row r="374">
          <cell r="B374" t="str">
            <v/>
          </cell>
          <cell r="K374" t="str">
            <v>zwycięzca(cy): 21:12,16:21,21:19</v>
          </cell>
        </row>
        <row r="375">
          <cell r="B375">
            <v>54</v>
          </cell>
          <cell r="C375" t="str">
            <v>dzień turnieju.</v>
          </cell>
          <cell r="I375" t="str">
            <v>Nr meczu</v>
          </cell>
          <cell r="N375" t="str">
            <v>Godz.</v>
          </cell>
          <cell r="R375" t="str">
            <v>S. prow.</v>
          </cell>
          <cell r="AF375" t="str">
            <v>wygrany</v>
          </cell>
          <cell r="AG375" t="str">
            <v>przegrany</v>
          </cell>
        </row>
        <row r="376">
          <cell r="B376" t="str">
            <v>Boisko</v>
          </cell>
          <cell r="C376" t="str">
            <v>Gra</v>
          </cell>
          <cell r="I376">
            <v>54</v>
          </cell>
          <cell r="N376" t="str">
            <v>rozp.</v>
          </cell>
          <cell r="P376" t="str">
            <v>zak.</v>
          </cell>
          <cell r="R376" t="str">
            <v>S. serw.</v>
          </cell>
        </row>
        <row r="377">
          <cell r="A377">
            <v>54</v>
          </cell>
          <cell r="C377" t="str">
            <v>Open</v>
          </cell>
          <cell r="H377">
            <v>13</v>
          </cell>
          <cell r="I377">
            <v>21</v>
          </cell>
          <cell r="J377">
            <v>21</v>
          </cell>
          <cell r="K377">
            <v>23</v>
          </cell>
          <cell r="R377">
            <v>0</v>
          </cell>
          <cell r="S377" t="str">
            <v>godz.13:20</v>
          </cell>
          <cell r="X377">
            <v>54</v>
          </cell>
          <cell r="Y377" t="str">
            <v>Open</v>
          </cell>
          <cell r="Z377" t="str">
            <v>I0002</v>
          </cell>
          <cell r="AA377" t="str">
            <v/>
          </cell>
          <cell r="AB377" t="str">
            <v>K0011</v>
          </cell>
          <cell r="AC377" t="str">
            <v/>
          </cell>
          <cell r="AD377" t="str">
            <v>K0011</v>
          </cell>
          <cell r="AE377" t="str">
            <v/>
          </cell>
          <cell r="AF377" t="str">
            <v>21:13,23:21</v>
          </cell>
          <cell r="AG377" t="str">
            <v>13:21,21:23</v>
          </cell>
          <cell r="AH377" t="str">
            <v/>
          </cell>
          <cell r="AI377">
            <v>13</v>
          </cell>
          <cell r="AJ377">
            <v>21</v>
          </cell>
          <cell r="AK377">
            <v>21</v>
          </cell>
          <cell r="AL377">
            <v>23</v>
          </cell>
          <cell r="AM377">
            <v>0</v>
          </cell>
          <cell r="AN377">
            <v>0</v>
          </cell>
        </row>
        <row r="378">
          <cell r="A378" t="str">
            <v/>
          </cell>
          <cell r="B378" t="str">
            <v>Igor IWAŃSKI (Mielec)</v>
          </cell>
          <cell r="H378" t="str">
            <v>I0002</v>
          </cell>
          <cell r="K378" t="str">
            <v>K0011</v>
          </cell>
          <cell r="N378" t="str">
            <v>Bartłomiej KOŚMIDER (Szczucin)</v>
          </cell>
        </row>
        <row r="379">
          <cell r="A379" t="str">
            <v/>
          </cell>
          <cell r="B379" t="str">
            <v/>
          </cell>
          <cell r="H379" t="str">
            <v/>
          </cell>
          <cell r="K379" t="str">
            <v/>
          </cell>
          <cell r="N379" t="str">
            <v/>
          </cell>
        </row>
        <row r="381">
          <cell r="B381" t="str">
            <v/>
          </cell>
          <cell r="K381" t="str">
            <v>zwycięzca(cy): 21:13,23:21</v>
          </cell>
        </row>
        <row r="382">
          <cell r="B382">
            <v>55</v>
          </cell>
          <cell r="C382" t="str">
            <v>dzień turnieju.</v>
          </cell>
          <cell r="I382" t="str">
            <v>Nr meczu</v>
          </cell>
          <cell r="N382" t="str">
            <v>Godz.</v>
          </cell>
          <cell r="R382" t="str">
            <v>S. prow.</v>
          </cell>
          <cell r="AF382" t="str">
            <v>wygrany</v>
          </cell>
          <cell r="AG382" t="str">
            <v>przegrany</v>
          </cell>
        </row>
        <row r="383">
          <cell r="B383" t="str">
            <v>Boisko</v>
          </cell>
          <cell r="C383" t="str">
            <v>Gra</v>
          </cell>
          <cell r="I383">
            <v>55</v>
          </cell>
          <cell r="N383" t="str">
            <v>rozp.</v>
          </cell>
          <cell r="P383" t="str">
            <v>zak.</v>
          </cell>
          <cell r="R383" t="str">
            <v>S. serw.</v>
          </cell>
        </row>
        <row r="384">
          <cell r="A384">
            <v>55</v>
          </cell>
          <cell r="C384" t="str">
            <v>Open</v>
          </cell>
          <cell r="H384">
            <v>21</v>
          </cell>
          <cell r="I384">
            <v>19</v>
          </cell>
          <cell r="J384">
            <v>21</v>
          </cell>
          <cell r="K384">
            <v>11</v>
          </cell>
          <cell r="R384">
            <v>0</v>
          </cell>
          <cell r="S384" t="str">
            <v>godz.13:20</v>
          </cell>
          <cell r="X384">
            <v>55</v>
          </cell>
          <cell r="Y384" t="str">
            <v>Open</v>
          </cell>
          <cell r="Z384" t="str">
            <v>S0030</v>
          </cell>
          <cell r="AA384" t="str">
            <v/>
          </cell>
          <cell r="AB384" t="str">
            <v>S0020</v>
          </cell>
          <cell r="AC384" t="str">
            <v/>
          </cell>
          <cell r="AD384" t="str">
            <v>S0030</v>
          </cell>
          <cell r="AE384" t="str">
            <v/>
          </cell>
          <cell r="AF384" t="str">
            <v>21:19,21:11</v>
          </cell>
          <cell r="AG384" t="str">
            <v>19:21,11:21</v>
          </cell>
          <cell r="AH384" t="str">
            <v/>
          </cell>
          <cell r="AI384">
            <v>21</v>
          </cell>
          <cell r="AJ384">
            <v>19</v>
          </cell>
          <cell r="AK384">
            <v>21</v>
          </cell>
          <cell r="AL384">
            <v>11</v>
          </cell>
          <cell r="AM384">
            <v>0</v>
          </cell>
          <cell r="AN384">
            <v>0</v>
          </cell>
        </row>
        <row r="385">
          <cell r="A385" t="str">
            <v/>
          </cell>
          <cell r="B385" t="str">
            <v>Karol SZYMURA (Szczucin)</v>
          </cell>
          <cell r="H385" t="str">
            <v>S0030</v>
          </cell>
          <cell r="K385" t="str">
            <v>S0020</v>
          </cell>
          <cell r="N385" t="str">
            <v>Mariusz SŁOMBA (Mielec)</v>
          </cell>
        </row>
        <row r="386">
          <cell r="A386" t="str">
            <v/>
          </cell>
          <cell r="B386" t="str">
            <v/>
          </cell>
          <cell r="H386" t="str">
            <v/>
          </cell>
          <cell r="K386" t="str">
            <v/>
          </cell>
          <cell r="N386" t="str">
            <v/>
          </cell>
        </row>
        <row r="388">
          <cell r="B388" t="str">
            <v>zwycięzca(cy): 21:19,21:11</v>
          </cell>
          <cell r="K388" t="str">
            <v/>
          </cell>
        </row>
        <row r="389">
          <cell r="B389">
            <v>56</v>
          </cell>
          <cell r="C389" t="str">
            <v>dzień turnieju.</v>
          </cell>
          <cell r="I389" t="str">
            <v>Nr meczu</v>
          </cell>
          <cell r="N389" t="str">
            <v>Godz.</v>
          </cell>
          <cell r="R389" t="str">
            <v>S. prow.</v>
          </cell>
          <cell r="AF389" t="str">
            <v>wygrany</v>
          </cell>
          <cell r="AG389" t="str">
            <v>przegrany</v>
          </cell>
        </row>
        <row r="390">
          <cell r="B390" t="str">
            <v>Boisko</v>
          </cell>
          <cell r="C390" t="str">
            <v>Gra</v>
          </cell>
          <cell r="I390">
            <v>56</v>
          </cell>
          <cell r="N390" t="str">
            <v>rozp.</v>
          </cell>
          <cell r="P390" t="str">
            <v>zak.</v>
          </cell>
          <cell r="R390" t="str">
            <v>S. serw.</v>
          </cell>
        </row>
        <row r="391">
          <cell r="A391">
            <v>56</v>
          </cell>
          <cell r="C391" t="str">
            <v>Open</v>
          </cell>
          <cell r="H391">
            <v>12</v>
          </cell>
          <cell r="I391">
            <v>21</v>
          </cell>
          <cell r="J391">
            <v>13</v>
          </cell>
          <cell r="K391">
            <v>21</v>
          </cell>
          <cell r="R391">
            <v>0</v>
          </cell>
          <cell r="S391" t="str">
            <v>godz.13:20</v>
          </cell>
          <cell r="X391">
            <v>56</v>
          </cell>
          <cell r="Y391" t="str">
            <v>Open</v>
          </cell>
          <cell r="Z391" t="str">
            <v>S0020</v>
          </cell>
          <cell r="AA391" t="str">
            <v/>
          </cell>
          <cell r="AB391" t="str">
            <v>K0011</v>
          </cell>
          <cell r="AC391" t="str">
            <v/>
          </cell>
          <cell r="AD391" t="str">
            <v>K0011</v>
          </cell>
          <cell r="AE391" t="str">
            <v/>
          </cell>
          <cell r="AF391" t="str">
            <v>21:12,21:13</v>
          </cell>
          <cell r="AG391" t="str">
            <v>12:21,13:21</v>
          </cell>
          <cell r="AH391" t="str">
            <v/>
          </cell>
          <cell r="AI391">
            <v>12</v>
          </cell>
          <cell r="AJ391">
            <v>21</v>
          </cell>
          <cell r="AK391">
            <v>13</v>
          </cell>
          <cell r="AL391">
            <v>21</v>
          </cell>
          <cell r="AM391">
            <v>0</v>
          </cell>
          <cell r="AN391">
            <v>0</v>
          </cell>
        </row>
        <row r="392">
          <cell r="A392" t="str">
            <v/>
          </cell>
          <cell r="B392" t="str">
            <v>Mariusz SŁOMBA (Mielec)</v>
          </cell>
          <cell r="H392" t="str">
            <v>S0020</v>
          </cell>
          <cell r="K392" t="str">
            <v>K0011</v>
          </cell>
          <cell r="N392" t="str">
            <v>Bartłomiej KOŚMIDER (Szczucin)</v>
          </cell>
        </row>
        <row r="393">
          <cell r="A393" t="str">
            <v/>
          </cell>
          <cell r="B393" t="str">
            <v/>
          </cell>
          <cell r="H393" t="str">
            <v/>
          </cell>
          <cell r="K393" t="str">
            <v/>
          </cell>
          <cell r="N393" t="str">
            <v/>
          </cell>
        </row>
        <row r="395">
          <cell r="B395" t="str">
            <v/>
          </cell>
          <cell r="K395" t="str">
            <v>zwycięzca(cy): 21:12,21:13</v>
          </cell>
        </row>
        <row r="396">
          <cell r="B396">
            <v>57</v>
          </cell>
          <cell r="C396" t="str">
            <v>dzień turnieju.</v>
          </cell>
          <cell r="I396" t="str">
            <v>Nr meczu</v>
          </cell>
          <cell r="N396" t="str">
            <v>Godz.</v>
          </cell>
          <cell r="R396" t="str">
            <v>S. prow.</v>
          </cell>
          <cell r="AF396" t="str">
            <v>wygrany</v>
          </cell>
          <cell r="AG396" t="str">
            <v>przegrany</v>
          </cell>
        </row>
        <row r="397">
          <cell r="B397" t="str">
            <v>Boisko</v>
          </cell>
          <cell r="C397" t="str">
            <v>Gra</v>
          </cell>
          <cell r="I397">
            <v>57</v>
          </cell>
          <cell r="N397" t="str">
            <v>rozp.</v>
          </cell>
          <cell r="P397" t="str">
            <v>zak.</v>
          </cell>
          <cell r="R397" t="str">
            <v>S. serw.</v>
          </cell>
        </row>
        <row r="398">
          <cell r="A398">
            <v>57</v>
          </cell>
          <cell r="C398" t="str">
            <v>Open</v>
          </cell>
          <cell r="H398">
            <v>10</v>
          </cell>
          <cell r="I398">
            <v>21</v>
          </cell>
          <cell r="J398">
            <v>19</v>
          </cell>
          <cell r="K398">
            <v>21</v>
          </cell>
          <cell r="R398">
            <v>0</v>
          </cell>
          <cell r="S398" t="str">
            <v>godz.13:40</v>
          </cell>
          <cell r="X398">
            <v>57</v>
          </cell>
          <cell r="Y398" t="str">
            <v>Open</v>
          </cell>
          <cell r="Z398" t="str">
            <v>I0002</v>
          </cell>
          <cell r="AA398" t="str">
            <v/>
          </cell>
          <cell r="AB398" t="str">
            <v>S0030</v>
          </cell>
          <cell r="AC398" t="str">
            <v/>
          </cell>
          <cell r="AD398" t="str">
            <v>S0030</v>
          </cell>
          <cell r="AE398" t="str">
            <v/>
          </cell>
          <cell r="AF398" t="str">
            <v>21:10,21:19</v>
          </cell>
          <cell r="AG398" t="str">
            <v>10:21,19:21</v>
          </cell>
          <cell r="AH398" t="str">
            <v/>
          </cell>
          <cell r="AI398">
            <v>10</v>
          </cell>
          <cell r="AJ398">
            <v>21</v>
          </cell>
          <cell r="AK398">
            <v>19</v>
          </cell>
          <cell r="AL398">
            <v>21</v>
          </cell>
          <cell r="AM398">
            <v>0</v>
          </cell>
          <cell r="AN398">
            <v>0</v>
          </cell>
        </row>
        <row r="399">
          <cell r="A399" t="str">
            <v/>
          </cell>
          <cell r="B399" t="str">
            <v>Igor IWAŃSKI (Mielec)</v>
          </cell>
          <cell r="H399" t="str">
            <v>I0002</v>
          </cell>
          <cell r="K399" t="str">
            <v>S0030</v>
          </cell>
          <cell r="N399" t="str">
            <v>Karol SZYMURA (Szczucin)</v>
          </cell>
        </row>
        <row r="400">
          <cell r="A400" t="str">
            <v/>
          </cell>
          <cell r="B400" t="str">
            <v/>
          </cell>
          <cell r="H400" t="str">
            <v/>
          </cell>
          <cell r="K400" t="str">
            <v/>
          </cell>
          <cell r="N400" t="str">
            <v/>
          </cell>
        </row>
        <row r="402">
          <cell r="B402" t="str">
            <v/>
          </cell>
          <cell r="K402" t="str">
            <v>zwycięzca(cy): 21:10,21:19</v>
          </cell>
        </row>
        <row r="403">
          <cell r="B403">
            <v>58</v>
          </cell>
          <cell r="C403" t="str">
            <v>dzień turnieju.</v>
          </cell>
          <cell r="I403" t="str">
            <v>Nr meczu</v>
          </cell>
          <cell r="N403" t="str">
            <v>Godz.</v>
          </cell>
          <cell r="R403" t="str">
            <v>S. prow.</v>
          </cell>
          <cell r="AF403" t="str">
            <v>wygrany</v>
          </cell>
          <cell r="AG403" t="str">
            <v>przegrany</v>
          </cell>
        </row>
        <row r="404">
          <cell r="B404" t="str">
            <v>Boisko</v>
          </cell>
          <cell r="C404" t="str">
            <v>Gra</v>
          </cell>
          <cell r="I404">
            <v>58</v>
          </cell>
          <cell r="N404" t="str">
            <v>rozp.</v>
          </cell>
          <cell r="P404" t="str">
            <v>zak.</v>
          </cell>
          <cell r="R404" t="str">
            <v>S. serw.</v>
          </cell>
        </row>
        <row r="405">
          <cell r="A405">
            <v>58</v>
          </cell>
          <cell r="C405" t="str">
            <v>Beginners</v>
          </cell>
          <cell r="H405">
            <v>21</v>
          </cell>
          <cell r="I405">
            <v>11</v>
          </cell>
          <cell r="J405">
            <v>21</v>
          </cell>
          <cell r="K405">
            <v>17</v>
          </cell>
          <cell r="R405">
            <v>0</v>
          </cell>
          <cell r="S405" t="str">
            <v>godz.13:40</v>
          </cell>
          <cell r="X405">
            <v>58</v>
          </cell>
          <cell r="Y405" t="str">
            <v>Beginners</v>
          </cell>
          <cell r="Z405" t="str">
            <v>s0032</v>
          </cell>
          <cell r="AA405" t="str">
            <v/>
          </cell>
          <cell r="AB405" t="str">
            <v>g0016</v>
          </cell>
          <cell r="AC405" t="str">
            <v/>
          </cell>
          <cell r="AD405" t="str">
            <v>s0032</v>
          </cell>
          <cell r="AE405" t="str">
            <v/>
          </cell>
          <cell r="AF405" t="str">
            <v>21:11,21:17</v>
          </cell>
          <cell r="AG405" t="str">
            <v>11:21,17:21</v>
          </cell>
          <cell r="AH405" t="str">
            <v/>
          </cell>
          <cell r="AI405">
            <v>21</v>
          </cell>
          <cell r="AJ405">
            <v>11</v>
          </cell>
          <cell r="AK405">
            <v>21</v>
          </cell>
          <cell r="AL405">
            <v>17</v>
          </cell>
          <cell r="AM405">
            <v>0</v>
          </cell>
          <cell r="AN405">
            <v>0</v>
          </cell>
        </row>
        <row r="406">
          <cell r="A406" t="str">
            <v/>
          </cell>
          <cell r="B406" t="str">
            <v>Łukasz SZANTULA (Mielec)</v>
          </cell>
          <cell r="H406" t="str">
            <v>s0032</v>
          </cell>
          <cell r="K406" t="str">
            <v>g0016</v>
          </cell>
          <cell r="N406" t="str">
            <v>Wiktoria GRĄDZKA (Mielec)</v>
          </cell>
        </row>
        <row r="407">
          <cell r="A407" t="str">
            <v/>
          </cell>
          <cell r="B407" t="str">
            <v/>
          </cell>
          <cell r="H407" t="str">
            <v/>
          </cell>
          <cell r="K407" t="str">
            <v/>
          </cell>
          <cell r="N407" t="str">
            <v/>
          </cell>
        </row>
        <row r="409">
          <cell r="B409" t="str">
            <v>zwycięzca(cy): 21:11,21:17</v>
          </cell>
          <cell r="K409" t="str">
            <v/>
          </cell>
        </row>
        <row r="410">
          <cell r="B410">
            <v>59</v>
          </cell>
          <cell r="C410" t="str">
            <v>dzień turnieju.</v>
          </cell>
          <cell r="I410" t="str">
            <v>Nr meczu</v>
          </cell>
          <cell r="N410" t="str">
            <v>Godz.</v>
          </cell>
          <cell r="R410" t="str">
            <v>S. prow.</v>
          </cell>
          <cell r="AF410" t="str">
            <v>wygrany</v>
          </cell>
          <cell r="AG410" t="str">
            <v>przegrany</v>
          </cell>
        </row>
        <row r="411">
          <cell r="B411" t="str">
            <v>Boisko</v>
          </cell>
          <cell r="C411" t="str">
            <v>Gra</v>
          </cell>
          <cell r="I411">
            <v>59</v>
          </cell>
          <cell r="N411" t="str">
            <v>rozp.</v>
          </cell>
          <cell r="P411" t="str">
            <v>zak.</v>
          </cell>
          <cell r="R411" t="str">
            <v>S. serw.</v>
          </cell>
        </row>
        <row r="412">
          <cell r="A412">
            <v>59</v>
          </cell>
          <cell r="C412" t="str">
            <v>Beginners</v>
          </cell>
          <cell r="H412">
            <v>4</v>
          </cell>
          <cell r="I412">
            <v>21</v>
          </cell>
          <cell r="J412">
            <v>9</v>
          </cell>
          <cell r="K412">
            <v>21</v>
          </cell>
          <cell r="R412">
            <v>0</v>
          </cell>
          <cell r="S412" t="str">
            <v>godz.13:40</v>
          </cell>
          <cell r="X412">
            <v>59</v>
          </cell>
          <cell r="Y412" t="str">
            <v>Beginners</v>
          </cell>
          <cell r="Z412" t="str">
            <v>g0016</v>
          </cell>
          <cell r="AA412" t="str">
            <v/>
          </cell>
          <cell r="AB412" t="str">
            <v>S0035</v>
          </cell>
          <cell r="AC412" t="str">
            <v/>
          </cell>
          <cell r="AD412" t="str">
            <v>S0035</v>
          </cell>
          <cell r="AE412" t="str">
            <v/>
          </cell>
          <cell r="AF412" t="str">
            <v>21:4,21:9</v>
          </cell>
          <cell r="AG412" t="str">
            <v>4:21,9:21</v>
          </cell>
          <cell r="AH412" t="str">
            <v/>
          </cell>
          <cell r="AI412">
            <v>4</v>
          </cell>
          <cell r="AJ412">
            <v>21</v>
          </cell>
          <cell r="AK412">
            <v>9</v>
          </cell>
          <cell r="AL412">
            <v>21</v>
          </cell>
          <cell r="AM412">
            <v>0</v>
          </cell>
          <cell r="AN412">
            <v>0</v>
          </cell>
        </row>
        <row r="413">
          <cell r="A413" t="str">
            <v/>
          </cell>
          <cell r="B413" t="str">
            <v>Wiktoria GRĄDZKA (Mielec)</v>
          </cell>
          <cell r="H413" t="str">
            <v>g0016</v>
          </cell>
          <cell r="K413" t="str">
            <v>S0035</v>
          </cell>
          <cell r="N413" t="str">
            <v>Kuba SITEK (Rzeszów)</v>
          </cell>
        </row>
        <row r="414">
          <cell r="A414" t="str">
            <v/>
          </cell>
          <cell r="B414" t="str">
            <v/>
          </cell>
          <cell r="H414" t="str">
            <v/>
          </cell>
          <cell r="K414" t="str">
            <v/>
          </cell>
          <cell r="N414" t="str">
            <v/>
          </cell>
        </row>
        <row r="416">
          <cell r="B416" t="str">
            <v/>
          </cell>
          <cell r="K416" t="str">
            <v>zwycięzca(cy): 21:4,21:9</v>
          </cell>
        </row>
        <row r="417">
          <cell r="B417">
            <v>60</v>
          </cell>
          <cell r="C417" t="str">
            <v>dzień turnieju.</v>
          </cell>
          <cell r="I417" t="str">
            <v>Nr meczu</v>
          </cell>
          <cell r="N417" t="str">
            <v>Godz.</v>
          </cell>
          <cell r="R417" t="str">
            <v>S. prow.</v>
          </cell>
          <cell r="AF417" t="str">
            <v>wygrany</v>
          </cell>
          <cell r="AG417" t="str">
            <v>przegrany</v>
          </cell>
        </row>
        <row r="418">
          <cell r="B418" t="str">
            <v>Boisko</v>
          </cell>
          <cell r="C418" t="str">
            <v>Gra</v>
          </cell>
          <cell r="I418">
            <v>60</v>
          </cell>
          <cell r="N418" t="str">
            <v>rozp.</v>
          </cell>
          <cell r="P418" t="str">
            <v>zak.</v>
          </cell>
          <cell r="R418" t="str">
            <v>S. serw.</v>
          </cell>
        </row>
        <row r="419">
          <cell r="A419">
            <v>60</v>
          </cell>
          <cell r="C419" t="str">
            <v>Beginners</v>
          </cell>
          <cell r="H419">
            <v>21</v>
          </cell>
          <cell r="I419">
            <v>17</v>
          </cell>
          <cell r="J419">
            <v>21</v>
          </cell>
          <cell r="K419">
            <v>18</v>
          </cell>
          <cell r="R419">
            <v>0</v>
          </cell>
          <cell r="S419" t="str">
            <v>godz.13:40</v>
          </cell>
          <cell r="X419">
            <v>60</v>
          </cell>
          <cell r="Y419" t="str">
            <v>Beginners</v>
          </cell>
          <cell r="Z419" t="str">
            <v>s0028</v>
          </cell>
          <cell r="AA419" t="str">
            <v/>
          </cell>
          <cell r="AB419" t="str">
            <v>s0032</v>
          </cell>
          <cell r="AC419" t="str">
            <v/>
          </cell>
          <cell r="AD419" t="str">
            <v>s0028</v>
          </cell>
          <cell r="AE419" t="str">
            <v/>
          </cell>
          <cell r="AF419" t="str">
            <v>21:17,21:18</v>
          </cell>
          <cell r="AG419" t="str">
            <v>17:21,18:21</v>
          </cell>
          <cell r="AH419" t="str">
            <v/>
          </cell>
          <cell r="AI419">
            <v>21</v>
          </cell>
          <cell r="AJ419">
            <v>17</v>
          </cell>
          <cell r="AK419">
            <v>21</v>
          </cell>
          <cell r="AL419">
            <v>18</v>
          </cell>
          <cell r="AM419">
            <v>0</v>
          </cell>
          <cell r="AN419">
            <v>0</v>
          </cell>
        </row>
        <row r="420">
          <cell r="A420" t="str">
            <v/>
          </cell>
          <cell r="B420" t="str">
            <v>Tobiasz SAŁAGAJ (Mielec)</v>
          </cell>
          <cell r="H420" t="str">
            <v>s0028</v>
          </cell>
          <cell r="K420" t="str">
            <v>s0032</v>
          </cell>
          <cell r="N420" t="str">
            <v>Łukasz SZANTULA (Mielec)</v>
          </cell>
        </row>
        <row r="421">
          <cell r="A421" t="str">
            <v/>
          </cell>
          <cell r="B421" t="str">
            <v/>
          </cell>
          <cell r="H421" t="str">
            <v/>
          </cell>
          <cell r="K421" t="str">
            <v/>
          </cell>
          <cell r="N421" t="str">
            <v/>
          </cell>
        </row>
        <row r="423">
          <cell r="B423" t="str">
            <v>zwycięzca(cy): 21:17,21:18</v>
          </cell>
          <cell r="K423" t="str">
            <v/>
          </cell>
        </row>
        <row r="424">
          <cell r="B424">
            <v>61</v>
          </cell>
          <cell r="C424" t="str">
            <v>dzień turnieju.</v>
          </cell>
          <cell r="I424" t="str">
            <v>Nr meczu</v>
          </cell>
          <cell r="N424" t="str">
            <v>Godz.</v>
          </cell>
          <cell r="R424" t="str">
            <v>S. prow.</v>
          </cell>
          <cell r="AF424" t="str">
            <v>wygrany</v>
          </cell>
          <cell r="AG424" t="str">
            <v>przegrany</v>
          </cell>
        </row>
        <row r="425">
          <cell r="B425" t="str">
            <v>Boisko</v>
          </cell>
          <cell r="C425" t="str">
            <v>Gra</v>
          </cell>
          <cell r="I425">
            <v>61</v>
          </cell>
          <cell r="N425" t="str">
            <v>rozp.</v>
          </cell>
          <cell r="P425" t="str">
            <v>zak.</v>
          </cell>
          <cell r="R425" t="str">
            <v>S. serw.</v>
          </cell>
        </row>
        <row r="426">
          <cell r="A426">
            <v>61</v>
          </cell>
          <cell r="C426" t="str">
            <v>Gra podwójna</v>
          </cell>
          <cell r="H426">
            <v>27</v>
          </cell>
          <cell r="I426">
            <v>25</v>
          </cell>
          <cell r="J426">
            <v>21</v>
          </cell>
          <cell r="K426">
            <v>9</v>
          </cell>
          <cell r="R426">
            <v>0</v>
          </cell>
          <cell r="S426" t="str">
            <v>godz.14:00</v>
          </cell>
          <cell r="X426">
            <v>61</v>
          </cell>
          <cell r="Y426" t="str">
            <v>Gra podwójna</v>
          </cell>
          <cell r="Z426" t="str">
            <v>K0012</v>
          </cell>
          <cell r="AA426" t="str">
            <v>D0008</v>
          </cell>
          <cell r="AB426" t="str">
            <v>G0015</v>
          </cell>
          <cell r="AC426" t="str">
            <v>O0004</v>
          </cell>
          <cell r="AD426" t="str">
            <v>K0012</v>
          </cell>
          <cell r="AE426" t="str">
            <v>D0008</v>
          </cell>
          <cell r="AF426" t="str">
            <v>27:25,21:9</v>
          </cell>
          <cell r="AG426" t="str">
            <v>25:27,9:21</v>
          </cell>
          <cell r="AH426" t="str">
            <v/>
          </cell>
          <cell r="AI426">
            <v>27</v>
          </cell>
          <cell r="AJ426">
            <v>25</v>
          </cell>
          <cell r="AK426">
            <v>21</v>
          </cell>
          <cell r="AL426">
            <v>9</v>
          </cell>
          <cell r="AM426">
            <v>0</v>
          </cell>
          <cell r="AN426">
            <v>0</v>
          </cell>
        </row>
        <row r="427">
          <cell r="A427" t="str">
            <v/>
          </cell>
          <cell r="B427" t="str">
            <v>Piotr KOTERBA (Rzeszów)</v>
          </cell>
          <cell r="H427" t="str">
            <v>K0012</v>
          </cell>
          <cell r="K427" t="str">
            <v>G0015</v>
          </cell>
          <cell r="N427" t="str">
            <v>Piotr GŁOWACKI (Tarnowiec)</v>
          </cell>
        </row>
        <row r="428">
          <cell r="A428" t="str">
            <v/>
          </cell>
          <cell r="B428" t="str">
            <v>Patrycja DOMAŃSKA (Rzeszów)</v>
          </cell>
          <cell r="H428" t="str">
            <v>D0008</v>
          </cell>
          <cell r="K428" t="str">
            <v>O0004</v>
          </cell>
          <cell r="N428" t="str">
            <v>Krzysztof ORZECHOWICZ (Tarnowiec)</v>
          </cell>
        </row>
        <row r="430">
          <cell r="B430" t="str">
            <v>zwycięzca(cy): 27:25,21:9</v>
          </cell>
          <cell r="K430" t="str">
            <v/>
          </cell>
        </row>
        <row r="431">
          <cell r="B431">
            <v>62</v>
          </cell>
          <cell r="C431" t="str">
            <v>dzień turnieju.</v>
          </cell>
          <cell r="I431" t="str">
            <v>Nr meczu</v>
          </cell>
          <cell r="N431" t="str">
            <v>Godz.</v>
          </cell>
          <cell r="R431" t="str">
            <v>S. prow.</v>
          </cell>
          <cell r="AF431" t="str">
            <v>wygrany</v>
          </cell>
          <cell r="AG431" t="str">
            <v>przegrany</v>
          </cell>
        </row>
        <row r="432">
          <cell r="B432" t="str">
            <v>Boisko</v>
          </cell>
          <cell r="C432" t="str">
            <v>Gra</v>
          </cell>
          <cell r="I432">
            <v>62</v>
          </cell>
          <cell r="N432" t="str">
            <v>rozp.</v>
          </cell>
          <cell r="P432" t="str">
            <v>zak.</v>
          </cell>
          <cell r="R432" t="str">
            <v>S. serw.</v>
          </cell>
        </row>
        <row r="433">
          <cell r="A433">
            <v>62</v>
          </cell>
          <cell r="C433" t="str">
            <v>Gra podwójna</v>
          </cell>
          <cell r="H433">
            <v>21</v>
          </cell>
          <cell r="I433">
            <v>9</v>
          </cell>
          <cell r="J433">
            <v>21</v>
          </cell>
          <cell r="K433">
            <v>12</v>
          </cell>
          <cell r="R433">
            <v>0</v>
          </cell>
          <cell r="S433" t="str">
            <v>godz.14:00</v>
          </cell>
          <cell r="X433">
            <v>62</v>
          </cell>
          <cell r="Y433" t="str">
            <v>Gra podwójna</v>
          </cell>
          <cell r="Z433" t="str">
            <v>S0028</v>
          </cell>
          <cell r="AA433" t="str">
            <v>S0029</v>
          </cell>
          <cell r="AB433" t="str">
            <v>G0014</v>
          </cell>
          <cell r="AC433" t="str">
            <v>O0006</v>
          </cell>
          <cell r="AD433" t="str">
            <v>S0028</v>
          </cell>
          <cell r="AE433" t="str">
            <v>S0029</v>
          </cell>
          <cell r="AF433" t="str">
            <v>21:9,21:12</v>
          </cell>
          <cell r="AG433" t="str">
            <v>9:21,12:21</v>
          </cell>
          <cell r="AH433" t="str">
            <v/>
          </cell>
          <cell r="AI433">
            <v>21</v>
          </cell>
          <cell r="AJ433">
            <v>9</v>
          </cell>
          <cell r="AK433">
            <v>21</v>
          </cell>
          <cell r="AL433">
            <v>12</v>
          </cell>
          <cell r="AM433">
            <v>0</v>
          </cell>
          <cell r="AN433">
            <v>0</v>
          </cell>
        </row>
        <row r="434">
          <cell r="A434" t="str">
            <v/>
          </cell>
          <cell r="B434" t="str">
            <v>Tobiasz SAŁAGAJ (Mielec)</v>
          </cell>
          <cell r="H434" t="str">
            <v>S0028</v>
          </cell>
          <cell r="K434" t="str">
            <v>G0014</v>
          </cell>
          <cell r="N434" t="str">
            <v>Eryk GŁOWACKI (Tarnowiec)</v>
          </cell>
        </row>
        <row r="435">
          <cell r="A435" t="str">
            <v/>
          </cell>
          <cell r="B435" t="str">
            <v>Patryk STOLARZ (Mielec)</v>
          </cell>
          <cell r="H435" t="str">
            <v>S0029</v>
          </cell>
          <cell r="K435" t="str">
            <v>O0006</v>
          </cell>
          <cell r="N435" t="str">
            <v>Jessica ORZECHOWICZ (Tarnowiec)</v>
          </cell>
        </row>
        <row r="437">
          <cell r="B437" t="str">
            <v>zwycięzca(cy): 21:9,21:12</v>
          </cell>
          <cell r="K437" t="str">
            <v/>
          </cell>
        </row>
        <row r="438">
          <cell r="B438">
            <v>63</v>
          </cell>
          <cell r="C438" t="str">
            <v>dzień turnieju.</v>
          </cell>
          <cell r="I438" t="str">
            <v>Nr meczu</v>
          </cell>
          <cell r="N438" t="str">
            <v>Godz.</v>
          </cell>
          <cell r="R438" t="str">
            <v>S. prow.</v>
          </cell>
          <cell r="AF438" t="str">
            <v>wygrany</v>
          </cell>
          <cell r="AG438" t="str">
            <v>przegrany</v>
          </cell>
        </row>
        <row r="439">
          <cell r="B439" t="str">
            <v>Boisko</v>
          </cell>
          <cell r="C439" t="str">
            <v>Gra</v>
          </cell>
          <cell r="I439">
            <v>63</v>
          </cell>
          <cell r="N439" t="str">
            <v>rozp.</v>
          </cell>
          <cell r="P439" t="str">
            <v>zak.</v>
          </cell>
          <cell r="R439" t="str">
            <v>S. serw.</v>
          </cell>
        </row>
        <row r="440">
          <cell r="A440">
            <v>63</v>
          </cell>
          <cell r="C440" t="str">
            <v>Gra podwójna</v>
          </cell>
          <cell r="H440">
            <v>13</v>
          </cell>
          <cell r="I440">
            <v>21</v>
          </cell>
          <cell r="J440">
            <v>19</v>
          </cell>
          <cell r="K440">
            <v>21</v>
          </cell>
          <cell r="R440">
            <v>0</v>
          </cell>
          <cell r="S440" t="str">
            <v>godz.14:00</v>
          </cell>
          <cell r="X440">
            <v>63</v>
          </cell>
          <cell r="Y440" t="str">
            <v>Gra podwójna</v>
          </cell>
          <cell r="Z440" t="str">
            <v>S0033</v>
          </cell>
          <cell r="AA440" t="str">
            <v>S0032</v>
          </cell>
          <cell r="AB440" t="str">
            <v>G0011</v>
          </cell>
          <cell r="AC440" t="str">
            <v>S0035</v>
          </cell>
          <cell r="AD440" t="str">
            <v>G0011</v>
          </cell>
          <cell r="AE440" t="str">
            <v>S0035</v>
          </cell>
          <cell r="AF440" t="str">
            <v>21:13,21:19</v>
          </cell>
          <cell r="AG440" t="str">
            <v>13:21,19:21</v>
          </cell>
          <cell r="AH440" t="str">
            <v/>
          </cell>
          <cell r="AI440">
            <v>13</v>
          </cell>
          <cell r="AJ440">
            <v>21</v>
          </cell>
          <cell r="AK440">
            <v>19</v>
          </cell>
          <cell r="AL440">
            <v>21</v>
          </cell>
          <cell r="AM440">
            <v>0</v>
          </cell>
          <cell r="AN440">
            <v>0</v>
          </cell>
        </row>
        <row r="441">
          <cell r="A441" t="str">
            <v/>
          </cell>
          <cell r="B441" t="str">
            <v>Mikołaj STRAŻ (Mielec)</v>
          </cell>
          <cell r="H441" t="str">
            <v>S0033</v>
          </cell>
          <cell r="K441" t="str">
            <v>G0011</v>
          </cell>
          <cell r="N441" t="str">
            <v>Jakub GERCZAK (Sanok)</v>
          </cell>
        </row>
        <row r="442">
          <cell r="A442" t="str">
            <v/>
          </cell>
          <cell r="B442" t="str">
            <v>Łukasz SZANTULA (Mielec)</v>
          </cell>
          <cell r="H442" t="str">
            <v>S0032</v>
          </cell>
          <cell r="K442" t="str">
            <v>S0035</v>
          </cell>
          <cell r="N442" t="str">
            <v>Kuba SITEK (Rzeszów)</v>
          </cell>
        </row>
        <row r="444">
          <cell r="B444" t="str">
            <v/>
          </cell>
          <cell r="K444" t="str">
            <v>zwycięzca(cy): 21:13,21:19</v>
          </cell>
        </row>
        <row r="445">
          <cell r="B445">
            <v>64</v>
          </cell>
          <cell r="C445" t="str">
            <v>dzień turnieju.</v>
          </cell>
          <cell r="I445" t="str">
            <v>Nr meczu</v>
          </cell>
          <cell r="N445" t="str">
            <v>Godz.</v>
          </cell>
          <cell r="R445" t="str">
            <v>S. prow.</v>
          </cell>
          <cell r="AF445" t="str">
            <v>wygrany</v>
          </cell>
          <cell r="AG445" t="str">
            <v>przegrany</v>
          </cell>
        </row>
        <row r="446">
          <cell r="B446" t="str">
            <v>Boisko</v>
          </cell>
          <cell r="C446" t="str">
            <v>Gra</v>
          </cell>
          <cell r="I446">
            <v>64</v>
          </cell>
          <cell r="N446" t="str">
            <v>rozp.</v>
          </cell>
          <cell r="P446" t="str">
            <v>zak.</v>
          </cell>
          <cell r="R446" t="str">
            <v>S. serw.</v>
          </cell>
        </row>
        <row r="447">
          <cell r="A447">
            <v>64</v>
          </cell>
          <cell r="C447" t="str">
            <v>Gra podwójna</v>
          </cell>
          <cell r="H447">
            <v>21</v>
          </cell>
          <cell r="I447">
            <v>9</v>
          </cell>
          <cell r="J447">
            <v>21</v>
          </cell>
          <cell r="K447">
            <v>10</v>
          </cell>
          <cell r="R447">
            <v>0</v>
          </cell>
          <cell r="S447" t="str">
            <v>godz.14:00</v>
          </cell>
          <cell r="X447">
            <v>64</v>
          </cell>
          <cell r="Y447" t="str">
            <v>Gra podwójna</v>
          </cell>
          <cell r="Z447" t="str">
            <v>K0011</v>
          </cell>
          <cell r="AA447" t="str">
            <v>S0030</v>
          </cell>
          <cell r="AB447" t="str">
            <v>G0017</v>
          </cell>
          <cell r="AC447" t="str">
            <v>W0014</v>
          </cell>
          <cell r="AD447" t="str">
            <v>K0011</v>
          </cell>
          <cell r="AE447" t="str">
            <v>S0030</v>
          </cell>
          <cell r="AF447" t="str">
            <v>21:9,21:10</v>
          </cell>
          <cell r="AG447" t="str">
            <v>9:21,10:21</v>
          </cell>
          <cell r="AH447" t="str">
            <v/>
          </cell>
          <cell r="AI447">
            <v>21</v>
          </cell>
          <cell r="AJ447">
            <v>9</v>
          </cell>
          <cell r="AK447">
            <v>21</v>
          </cell>
          <cell r="AL447">
            <v>10</v>
          </cell>
          <cell r="AM447">
            <v>0</v>
          </cell>
          <cell r="AN447">
            <v>0</v>
          </cell>
        </row>
        <row r="448">
          <cell r="A448" t="str">
            <v/>
          </cell>
          <cell r="B448" t="str">
            <v>Bartłomiej KOŚMIDER (Szczucin)</v>
          </cell>
          <cell r="H448" t="str">
            <v>K0011</v>
          </cell>
          <cell r="K448" t="str">
            <v>G0017</v>
          </cell>
          <cell r="N448" t="str">
            <v>Grzegorz GODZWAN (Rzeszów)</v>
          </cell>
        </row>
        <row r="449">
          <cell r="A449" t="str">
            <v/>
          </cell>
          <cell r="B449" t="str">
            <v>Karol SZYMURA (Szczucin)</v>
          </cell>
          <cell r="H449" t="str">
            <v>S0030</v>
          </cell>
          <cell r="K449" t="str">
            <v>W0014</v>
          </cell>
          <cell r="N449" t="str">
            <v>Mariusz  WARNECKI (Rzeszów)</v>
          </cell>
        </row>
        <row r="451">
          <cell r="B451" t="str">
            <v>zwycięzca(cy): 21:9,21:10</v>
          </cell>
          <cell r="K451" t="str">
            <v/>
          </cell>
        </row>
        <row r="452">
          <cell r="B452">
            <v>65</v>
          </cell>
          <cell r="C452" t="str">
            <v>dzień turnieju.</v>
          </cell>
          <cell r="I452" t="str">
            <v>Nr meczu</v>
          </cell>
          <cell r="N452" t="str">
            <v>Godz.</v>
          </cell>
          <cell r="R452" t="str">
            <v>S. prow.</v>
          </cell>
          <cell r="AF452" t="str">
            <v>wygrany</v>
          </cell>
          <cell r="AG452" t="str">
            <v>przegrany</v>
          </cell>
        </row>
        <row r="453">
          <cell r="B453" t="str">
            <v>Boisko</v>
          </cell>
          <cell r="C453" t="str">
            <v>Gra</v>
          </cell>
          <cell r="I453">
            <v>65</v>
          </cell>
          <cell r="N453" t="str">
            <v>rozp.</v>
          </cell>
          <cell r="P453" t="str">
            <v>zak.</v>
          </cell>
          <cell r="R453" t="str">
            <v>S. serw.</v>
          </cell>
        </row>
        <row r="454">
          <cell r="A454">
            <v>65</v>
          </cell>
          <cell r="C454" t="str">
            <v>Gra podwójna</v>
          </cell>
          <cell r="H454">
            <v>21</v>
          </cell>
          <cell r="I454">
            <v>10</v>
          </cell>
          <cell r="J454">
            <v>21</v>
          </cell>
          <cell r="K454">
            <v>18</v>
          </cell>
          <cell r="R454">
            <v>0</v>
          </cell>
          <cell r="S454" t="str">
            <v>godz.14:20</v>
          </cell>
          <cell r="X454">
            <v>65</v>
          </cell>
          <cell r="Y454" t="str">
            <v>Gra podwójna</v>
          </cell>
          <cell r="Z454" t="str">
            <v>I0002</v>
          </cell>
          <cell r="AA454" t="str">
            <v>K0003</v>
          </cell>
          <cell r="AB454" t="str">
            <v>G0015</v>
          </cell>
          <cell r="AC454" t="str">
            <v>O0004</v>
          </cell>
          <cell r="AD454" t="str">
            <v>I0002</v>
          </cell>
          <cell r="AE454" t="str">
            <v>K0003</v>
          </cell>
          <cell r="AF454" t="str">
            <v>21:10,21:18</v>
          </cell>
          <cell r="AG454" t="str">
            <v>10:21,18:21</v>
          </cell>
          <cell r="AH454" t="str">
            <v/>
          </cell>
          <cell r="AI454">
            <v>21</v>
          </cell>
          <cell r="AJ454">
            <v>10</v>
          </cell>
          <cell r="AK454">
            <v>21</v>
          </cell>
          <cell r="AL454">
            <v>18</v>
          </cell>
          <cell r="AM454">
            <v>0</v>
          </cell>
          <cell r="AN454">
            <v>0</v>
          </cell>
        </row>
        <row r="455">
          <cell r="A455" t="str">
            <v/>
          </cell>
          <cell r="B455" t="str">
            <v>Igor IWAŃSKI (Mielec)</v>
          </cell>
          <cell r="H455" t="str">
            <v>I0002</v>
          </cell>
          <cell r="K455" t="str">
            <v>G0015</v>
          </cell>
          <cell r="N455" t="str">
            <v>Piotr GŁOWACKI (Tarnowiec)</v>
          </cell>
        </row>
        <row r="456">
          <cell r="A456" t="str">
            <v/>
          </cell>
          <cell r="B456" t="str">
            <v>Robert KARNASIEWICZ (Mielec)</v>
          </cell>
          <cell r="H456" t="str">
            <v>K0003</v>
          </cell>
          <cell r="K456" t="str">
            <v>O0004</v>
          </cell>
          <cell r="N456" t="str">
            <v>Krzysztof ORZECHOWICZ (Tarnowiec)</v>
          </cell>
        </row>
        <row r="458">
          <cell r="B458" t="str">
            <v>zwycięzca(cy): 21:10,21:18</v>
          </cell>
          <cell r="K458" t="str">
            <v/>
          </cell>
        </row>
        <row r="459">
          <cell r="B459">
            <v>66</v>
          </cell>
          <cell r="C459" t="str">
            <v>dzień turnieju.</v>
          </cell>
          <cell r="I459" t="str">
            <v>Nr meczu</v>
          </cell>
          <cell r="N459" t="str">
            <v>Godz.</v>
          </cell>
          <cell r="R459" t="str">
            <v>S. prow.</v>
          </cell>
          <cell r="AF459" t="str">
            <v>wygrany</v>
          </cell>
          <cell r="AG459" t="str">
            <v>przegrany</v>
          </cell>
        </row>
        <row r="460">
          <cell r="B460" t="str">
            <v>Boisko</v>
          </cell>
          <cell r="C460" t="str">
            <v>Gra</v>
          </cell>
          <cell r="I460">
            <v>66</v>
          </cell>
          <cell r="N460" t="str">
            <v>rozp.</v>
          </cell>
          <cell r="P460" t="str">
            <v>zak.</v>
          </cell>
          <cell r="R460" t="str">
            <v>S. serw.</v>
          </cell>
        </row>
        <row r="461">
          <cell r="A461">
            <v>66</v>
          </cell>
          <cell r="C461" t="str">
            <v>Gra podwójna</v>
          </cell>
          <cell r="H461">
            <v>10</v>
          </cell>
          <cell r="I461">
            <v>21</v>
          </cell>
          <cell r="J461">
            <v>8</v>
          </cell>
          <cell r="K461">
            <v>21</v>
          </cell>
          <cell r="R461">
            <v>0</v>
          </cell>
          <cell r="S461" t="str">
            <v>godz.14:20</v>
          </cell>
          <cell r="X461">
            <v>66</v>
          </cell>
          <cell r="Y461" t="str">
            <v>Gra podwójna</v>
          </cell>
          <cell r="Z461" t="str">
            <v>P0021</v>
          </cell>
          <cell r="AA461" t="str">
            <v>W0013</v>
          </cell>
          <cell r="AB461" t="str">
            <v>G0014</v>
          </cell>
          <cell r="AC461" t="str">
            <v>O0006</v>
          </cell>
          <cell r="AD461" t="str">
            <v>G0014</v>
          </cell>
          <cell r="AE461" t="str">
            <v>O0006</v>
          </cell>
          <cell r="AF461" t="str">
            <v>21:10,21:8</v>
          </cell>
          <cell r="AG461" t="str">
            <v>10:21,8:21</v>
          </cell>
          <cell r="AH461" t="str">
            <v/>
          </cell>
          <cell r="AI461">
            <v>10</v>
          </cell>
          <cell r="AJ461">
            <v>21</v>
          </cell>
          <cell r="AK461">
            <v>8</v>
          </cell>
          <cell r="AL461">
            <v>21</v>
          </cell>
          <cell r="AM461">
            <v>0</v>
          </cell>
          <cell r="AN461">
            <v>0</v>
          </cell>
        </row>
        <row r="462">
          <cell r="A462" t="str">
            <v/>
          </cell>
          <cell r="B462" t="str">
            <v>Mikołaj POLAŃSKI (Rzeszów)</v>
          </cell>
          <cell r="H462" t="str">
            <v>P0021</v>
          </cell>
          <cell r="K462" t="str">
            <v>G0014</v>
          </cell>
          <cell r="N462" t="str">
            <v>Eryk GŁOWACKI (Tarnowiec)</v>
          </cell>
        </row>
        <row r="463">
          <cell r="A463" t="str">
            <v/>
          </cell>
          <cell r="B463" t="str">
            <v>Olaf WARNECKI (Rzeszów)</v>
          </cell>
          <cell r="H463" t="str">
            <v>W0013</v>
          </cell>
          <cell r="K463" t="str">
            <v>O0006</v>
          </cell>
          <cell r="N463" t="str">
            <v>Jessica ORZECHOWICZ (Tarnowiec)</v>
          </cell>
        </row>
        <row r="465">
          <cell r="B465" t="str">
            <v/>
          </cell>
          <cell r="K465" t="str">
            <v>zwycięzca(cy): 21:10,21:8</v>
          </cell>
        </row>
        <row r="466">
          <cell r="B466">
            <v>67</v>
          </cell>
          <cell r="C466" t="str">
            <v>dzień turnieju.</v>
          </cell>
          <cell r="I466" t="str">
            <v>Nr meczu</v>
          </cell>
          <cell r="N466" t="str">
            <v>Godz.</v>
          </cell>
          <cell r="R466" t="str">
            <v>S. prow.</v>
          </cell>
          <cell r="AF466" t="str">
            <v>wygrany</v>
          </cell>
          <cell r="AG466" t="str">
            <v>przegrany</v>
          </cell>
        </row>
        <row r="467">
          <cell r="B467" t="str">
            <v>Boisko</v>
          </cell>
          <cell r="C467" t="str">
            <v>Gra</v>
          </cell>
          <cell r="I467">
            <v>67</v>
          </cell>
          <cell r="N467" t="str">
            <v>rozp.</v>
          </cell>
          <cell r="P467" t="str">
            <v>zak.</v>
          </cell>
          <cell r="R467" t="str">
            <v>S. serw.</v>
          </cell>
        </row>
        <row r="468">
          <cell r="A468">
            <v>67</v>
          </cell>
          <cell r="C468" t="str">
            <v>Gra podwójna</v>
          </cell>
          <cell r="H468">
            <v>13</v>
          </cell>
          <cell r="I468">
            <v>21</v>
          </cell>
          <cell r="J468">
            <v>17</v>
          </cell>
          <cell r="K468">
            <v>21</v>
          </cell>
          <cell r="R468">
            <v>0</v>
          </cell>
          <cell r="S468" t="str">
            <v>godz.14:20</v>
          </cell>
          <cell r="X468">
            <v>67</v>
          </cell>
          <cell r="Y468" t="str">
            <v>Gra podwójna</v>
          </cell>
          <cell r="Z468" t="str">
            <v>K0038</v>
          </cell>
          <cell r="AA468" t="str">
            <v>M0026</v>
          </cell>
          <cell r="AB468" t="str">
            <v>G0011</v>
          </cell>
          <cell r="AC468" t="str">
            <v>S0035</v>
          </cell>
          <cell r="AD468" t="str">
            <v>G0011</v>
          </cell>
          <cell r="AE468" t="str">
            <v>S0035</v>
          </cell>
          <cell r="AF468" t="str">
            <v>21:13,21:17</v>
          </cell>
          <cell r="AG468" t="str">
            <v>13:21,17:21</v>
          </cell>
          <cell r="AH468" t="str">
            <v/>
          </cell>
          <cell r="AI468">
            <v>13</v>
          </cell>
          <cell r="AJ468">
            <v>21</v>
          </cell>
          <cell r="AK468">
            <v>17</v>
          </cell>
          <cell r="AL468">
            <v>21</v>
          </cell>
          <cell r="AM468">
            <v>0</v>
          </cell>
          <cell r="AN468">
            <v>0</v>
          </cell>
        </row>
        <row r="469">
          <cell r="A469" t="str">
            <v/>
          </cell>
          <cell r="B469" t="str">
            <v>Wojciech KWOLEK (Mielec)</v>
          </cell>
          <cell r="H469" t="str">
            <v>K0038</v>
          </cell>
          <cell r="K469" t="str">
            <v>G0011</v>
          </cell>
          <cell r="N469" t="str">
            <v>Jakub GERCZAK (Sanok)</v>
          </cell>
        </row>
        <row r="470">
          <cell r="A470" t="str">
            <v/>
          </cell>
          <cell r="B470" t="str">
            <v>Wojciech MACHAJ (Mielec)</v>
          </cell>
          <cell r="H470" t="str">
            <v>M0026</v>
          </cell>
          <cell r="K470" t="str">
            <v>S0035</v>
          </cell>
          <cell r="N470" t="str">
            <v>Kuba SITEK (Rzeszów)</v>
          </cell>
        </row>
        <row r="472">
          <cell r="B472" t="str">
            <v/>
          </cell>
          <cell r="K472" t="str">
            <v>zwycięzca(cy): 21:13,21:17</v>
          </cell>
        </row>
        <row r="473">
          <cell r="B473">
            <v>68</v>
          </cell>
          <cell r="C473" t="str">
            <v>dzień turnieju.</v>
          </cell>
          <cell r="I473" t="str">
            <v>Nr meczu</v>
          </cell>
          <cell r="N473" t="str">
            <v>Godz.</v>
          </cell>
          <cell r="R473" t="str">
            <v>S. prow.</v>
          </cell>
          <cell r="AF473" t="str">
            <v>wygrany</v>
          </cell>
          <cell r="AG473" t="str">
            <v>przegrany</v>
          </cell>
        </row>
        <row r="474">
          <cell r="B474" t="str">
            <v>Boisko</v>
          </cell>
          <cell r="C474" t="str">
            <v>Gra</v>
          </cell>
          <cell r="I474">
            <v>68</v>
          </cell>
          <cell r="N474" t="str">
            <v>rozp.</v>
          </cell>
          <cell r="P474" t="str">
            <v>zak.</v>
          </cell>
          <cell r="R474" t="str">
            <v>S. serw.</v>
          </cell>
        </row>
        <row r="475">
          <cell r="A475">
            <v>68</v>
          </cell>
          <cell r="C475" t="str">
            <v>Gra podwójna</v>
          </cell>
          <cell r="H475">
            <v>7</v>
          </cell>
          <cell r="I475">
            <v>21</v>
          </cell>
          <cell r="J475">
            <v>10</v>
          </cell>
          <cell r="K475">
            <v>21</v>
          </cell>
          <cell r="R475">
            <v>0</v>
          </cell>
          <cell r="S475" t="str">
            <v>godz.14:20</v>
          </cell>
          <cell r="X475">
            <v>68</v>
          </cell>
          <cell r="Y475" t="str">
            <v>Gra podwójna</v>
          </cell>
          <cell r="Z475" t="str">
            <v>R0016</v>
          </cell>
          <cell r="AA475" t="str">
            <v>H0006</v>
          </cell>
          <cell r="AB475" t="str">
            <v>G0017</v>
          </cell>
          <cell r="AC475" t="str">
            <v>W0014</v>
          </cell>
          <cell r="AD475" t="str">
            <v>G0017</v>
          </cell>
          <cell r="AE475" t="str">
            <v>W0014</v>
          </cell>
          <cell r="AF475" t="str">
            <v>21:7,21:10</v>
          </cell>
          <cell r="AG475" t="str">
            <v>7:21,10:21</v>
          </cell>
          <cell r="AH475" t="str">
            <v/>
          </cell>
          <cell r="AI475">
            <v>7</v>
          </cell>
          <cell r="AJ475">
            <v>21</v>
          </cell>
          <cell r="AK475">
            <v>10</v>
          </cell>
          <cell r="AL475">
            <v>21</v>
          </cell>
          <cell r="AM475">
            <v>0</v>
          </cell>
          <cell r="AN475">
            <v>0</v>
          </cell>
        </row>
        <row r="476">
          <cell r="A476" t="str">
            <v/>
          </cell>
          <cell r="B476" t="str">
            <v>Oliwia RYBIŃSKA (Mielec)</v>
          </cell>
          <cell r="H476" t="str">
            <v>R0016</v>
          </cell>
          <cell r="K476" t="str">
            <v>G0017</v>
          </cell>
          <cell r="N476" t="str">
            <v>Grzegorz GODZWAN (Rzeszów)</v>
          </cell>
        </row>
        <row r="477">
          <cell r="A477" t="str">
            <v/>
          </cell>
          <cell r="B477" t="str">
            <v>Natalia HAŁATA (Mielec)</v>
          </cell>
          <cell r="H477" t="str">
            <v>H0006</v>
          </cell>
          <cell r="K477" t="str">
            <v>W0014</v>
          </cell>
          <cell r="N477" t="str">
            <v>Mariusz  WARNECKI (Rzeszów)</v>
          </cell>
        </row>
        <row r="479">
          <cell r="B479" t="str">
            <v/>
          </cell>
          <cell r="K479" t="str">
            <v>zwycięzca(cy): 21:7,21:10</v>
          </cell>
        </row>
        <row r="480">
          <cell r="B480">
            <v>69</v>
          </cell>
          <cell r="C480" t="str">
            <v>dzień turnieju.</v>
          </cell>
          <cell r="I480" t="str">
            <v>Nr meczu</v>
          </cell>
          <cell r="N480" t="str">
            <v>Godz.</v>
          </cell>
          <cell r="R480" t="str">
            <v>S. prow.</v>
          </cell>
          <cell r="AF480" t="str">
            <v>wygrany</v>
          </cell>
          <cell r="AG480" t="str">
            <v>przegrany</v>
          </cell>
        </row>
        <row r="481">
          <cell r="B481" t="str">
            <v>Boisko</v>
          </cell>
          <cell r="C481" t="str">
            <v>Gra</v>
          </cell>
          <cell r="I481">
            <v>69</v>
          </cell>
          <cell r="N481" t="str">
            <v>rozp.</v>
          </cell>
          <cell r="P481" t="str">
            <v>zak.</v>
          </cell>
          <cell r="R481" t="str">
            <v>S. serw.</v>
          </cell>
        </row>
        <row r="482">
          <cell r="A482">
            <v>69</v>
          </cell>
          <cell r="C482" t="str">
            <v>Gra podwójna</v>
          </cell>
          <cell r="H482">
            <v>21</v>
          </cell>
          <cell r="I482">
            <v>19</v>
          </cell>
          <cell r="J482">
            <v>12</v>
          </cell>
          <cell r="K482">
            <v>21</v>
          </cell>
          <cell r="L482">
            <v>21</v>
          </cell>
          <cell r="M482">
            <v>14</v>
          </cell>
          <cell r="R482">
            <v>0</v>
          </cell>
          <cell r="S482" t="str">
            <v>godz.14:40</v>
          </cell>
          <cell r="X482">
            <v>69</v>
          </cell>
          <cell r="Y482" t="str">
            <v>Gra podwójna</v>
          </cell>
          <cell r="Z482" t="str">
            <v>K0012</v>
          </cell>
          <cell r="AA482" t="str">
            <v>D0008</v>
          </cell>
          <cell r="AB482" t="str">
            <v>I0002</v>
          </cell>
          <cell r="AC482" t="str">
            <v>K0003</v>
          </cell>
          <cell r="AD482" t="str">
            <v>K0012</v>
          </cell>
          <cell r="AE482" t="str">
            <v>D0008</v>
          </cell>
          <cell r="AF482" t="str">
            <v>21:19,12:21,21:14</v>
          </cell>
          <cell r="AG482" t="str">
            <v>19:21,21:12,14:21</v>
          </cell>
          <cell r="AH482" t="str">
            <v/>
          </cell>
          <cell r="AI482">
            <v>21</v>
          </cell>
          <cell r="AJ482">
            <v>19</v>
          </cell>
          <cell r="AK482">
            <v>12</v>
          </cell>
          <cell r="AL482">
            <v>21</v>
          </cell>
          <cell r="AM482">
            <v>21</v>
          </cell>
          <cell r="AN482">
            <v>14</v>
          </cell>
        </row>
        <row r="483">
          <cell r="A483" t="str">
            <v/>
          </cell>
          <cell r="B483" t="str">
            <v>Piotr KOTERBA (Rzeszów)</v>
          </cell>
          <cell r="H483" t="str">
            <v>K0012</v>
          </cell>
          <cell r="K483" t="str">
            <v>I0002</v>
          </cell>
          <cell r="N483" t="str">
            <v>Igor IWAŃSKI (Mielec)</v>
          </cell>
        </row>
        <row r="484">
          <cell r="A484" t="str">
            <v/>
          </cell>
          <cell r="B484" t="str">
            <v>Patrycja DOMAŃSKA (Rzeszów)</v>
          </cell>
          <cell r="H484" t="str">
            <v>D0008</v>
          </cell>
          <cell r="K484" t="str">
            <v>K0003</v>
          </cell>
          <cell r="N484" t="str">
            <v>Robert KARNASIEWICZ (Mielec)</v>
          </cell>
        </row>
        <row r="486">
          <cell r="B486" t="str">
            <v>zwycięzca(cy): 21:19,12:21,21:14</v>
          </cell>
          <cell r="K486" t="str">
            <v/>
          </cell>
        </row>
        <row r="487">
          <cell r="B487">
            <v>70</v>
          </cell>
          <cell r="C487" t="str">
            <v>dzień turnieju.</v>
          </cell>
          <cell r="I487" t="str">
            <v>Nr meczu</v>
          </cell>
          <cell r="N487" t="str">
            <v>Godz.</v>
          </cell>
          <cell r="R487" t="str">
            <v>S. prow.</v>
          </cell>
          <cell r="AF487" t="str">
            <v>wygrany</v>
          </cell>
          <cell r="AG487" t="str">
            <v>przegrany</v>
          </cell>
        </row>
        <row r="488">
          <cell r="B488" t="str">
            <v>Boisko</v>
          </cell>
          <cell r="C488" t="str">
            <v>Gra</v>
          </cell>
          <cell r="I488">
            <v>70</v>
          </cell>
          <cell r="N488" t="str">
            <v>rozp.</v>
          </cell>
          <cell r="P488" t="str">
            <v>zak.</v>
          </cell>
          <cell r="R488" t="str">
            <v>S. serw.</v>
          </cell>
        </row>
        <row r="489">
          <cell r="A489">
            <v>70</v>
          </cell>
          <cell r="C489" t="str">
            <v>Gra podwójna</v>
          </cell>
          <cell r="H489">
            <v>21</v>
          </cell>
          <cell r="I489">
            <v>7</v>
          </cell>
          <cell r="J489">
            <v>21</v>
          </cell>
          <cell r="K489">
            <v>10</v>
          </cell>
          <cell r="R489">
            <v>0</v>
          </cell>
          <cell r="S489" t="str">
            <v>godz.14:40</v>
          </cell>
          <cell r="X489">
            <v>70</v>
          </cell>
          <cell r="Y489" t="str">
            <v>Gra podwójna</v>
          </cell>
          <cell r="Z489" t="str">
            <v>S0028</v>
          </cell>
          <cell r="AA489" t="str">
            <v>S0029</v>
          </cell>
          <cell r="AB489" t="str">
            <v>P0021</v>
          </cell>
          <cell r="AC489" t="str">
            <v>W0013</v>
          </cell>
          <cell r="AD489" t="str">
            <v>S0028</v>
          </cell>
          <cell r="AE489" t="str">
            <v>S0029</v>
          </cell>
          <cell r="AF489" t="str">
            <v>21:7,21:10</v>
          </cell>
          <cell r="AG489" t="str">
            <v>7:21,10:21</v>
          </cell>
          <cell r="AH489" t="str">
            <v/>
          </cell>
          <cell r="AI489">
            <v>21</v>
          </cell>
          <cell r="AJ489">
            <v>7</v>
          </cell>
          <cell r="AK489">
            <v>21</v>
          </cell>
          <cell r="AL489">
            <v>10</v>
          </cell>
          <cell r="AM489">
            <v>0</v>
          </cell>
          <cell r="AN489">
            <v>0</v>
          </cell>
        </row>
        <row r="490">
          <cell r="A490" t="str">
            <v/>
          </cell>
          <cell r="B490" t="str">
            <v>Tobiasz SAŁAGAJ (Mielec)</v>
          </cell>
          <cell r="H490" t="str">
            <v>S0028</v>
          </cell>
          <cell r="K490" t="str">
            <v>P0021</v>
          </cell>
          <cell r="N490" t="str">
            <v>Mikołaj POLAŃSKI (Rzeszów)</v>
          </cell>
        </row>
        <row r="491">
          <cell r="A491" t="str">
            <v/>
          </cell>
          <cell r="B491" t="str">
            <v>Patryk STOLARZ (Mielec)</v>
          </cell>
          <cell r="H491" t="str">
            <v>S0029</v>
          </cell>
          <cell r="K491" t="str">
            <v>W0013</v>
          </cell>
          <cell r="N491" t="str">
            <v>Olaf WARNECKI (Rzeszów)</v>
          </cell>
        </row>
        <row r="493">
          <cell r="B493" t="str">
            <v>zwycięzca(cy): 21:7,21:10</v>
          </cell>
          <cell r="K493" t="str">
            <v/>
          </cell>
        </row>
        <row r="494">
          <cell r="B494">
            <v>71</v>
          </cell>
          <cell r="C494" t="str">
            <v>dzień turnieju.</v>
          </cell>
          <cell r="I494" t="str">
            <v>Nr meczu</v>
          </cell>
          <cell r="N494" t="str">
            <v>Godz.</v>
          </cell>
          <cell r="R494" t="str">
            <v>S. prow.</v>
          </cell>
          <cell r="AF494" t="str">
            <v>wygrany</v>
          </cell>
          <cell r="AG494" t="str">
            <v>przegrany</v>
          </cell>
        </row>
        <row r="495">
          <cell r="B495" t="str">
            <v>Boisko</v>
          </cell>
          <cell r="C495" t="str">
            <v>Gra</v>
          </cell>
          <cell r="I495">
            <v>71</v>
          </cell>
          <cell r="N495" t="str">
            <v>rozp.</v>
          </cell>
          <cell r="P495" t="str">
            <v>zak.</v>
          </cell>
          <cell r="R495" t="str">
            <v>S. serw.</v>
          </cell>
        </row>
        <row r="496">
          <cell r="A496">
            <v>71</v>
          </cell>
          <cell r="C496" t="str">
            <v>Gra podwójna</v>
          </cell>
          <cell r="H496">
            <v>15</v>
          </cell>
          <cell r="I496">
            <v>21</v>
          </cell>
          <cell r="J496">
            <v>21</v>
          </cell>
          <cell r="K496">
            <v>18</v>
          </cell>
          <cell r="L496">
            <v>21</v>
          </cell>
          <cell r="M496">
            <v>17</v>
          </cell>
          <cell r="R496">
            <v>0</v>
          </cell>
          <cell r="S496" t="str">
            <v>godz.14:40</v>
          </cell>
          <cell r="X496">
            <v>71</v>
          </cell>
          <cell r="Y496" t="str">
            <v>Gra podwójna</v>
          </cell>
          <cell r="Z496" t="str">
            <v>S0033</v>
          </cell>
          <cell r="AA496" t="str">
            <v>S0032</v>
          </cell>
          <cell r="AB496" t="str">
            <v>K0038</v>
          </cell>
          <cell r="AC496" t="str">
            <v>M0026</v>
          </cell>
          <cell r="AD496" t="str">
            <v>S0033</v>
          </cell>
          <cell r="AE496" t="str">
            <v>S0032</v>
          </cell>
          <cell r="AF496" t="str">
            <v>15:21,21:18,21:17</v>
          </cell>
          <cell r="AG496" t="str">
            <v>21:15,18:21,17:21</v>
          </cell>
          <cell r="AH496" t="str">
            <v/>
          </cell>
          <cell r="AI496">
            <v>15</v>
          </cell>
          <cell r="AJ496">
            <v>21</v>
          </cell>
          <cell r="AK496">
            <v>21</v>
          </cell>
          <cell r="AL496">
            <v>18</v>
          </cell>
          <cell r="AM496">
            <v>21</v>
          </cell>
          <cell r="AN496">
            <v>17</v>
          </cell>
        </row>
        <row r="497">
          <cell r="A497" t="str">
            <v/>
          </cell>
          <cell r="B497" t="str">
            <v>Mikołaj STRAŻ (Mielec)</v>
          </cell>
          <cell r="H497" t="str">
            <v>S0033</v>
          </cell>
          <cell r="K497" t="str">
            <v>K0038</v>
          </cell>
          <cell r="N497" t="str">
            <v>Wojciech KWOLEK (Mielec)</v>
          </cell>
        </row>
        <row r="498">
          <cell r="A498" t="str">
            <v/>
          </cell>
          <cell r="B498" t="str">
            <v>Łukasz SZANTULA (Mielec)</v>
          </cell>
          <cell r="H498" t="str">
            <v>S0032</v>
          </cell>
          <cell r="K498" t="str">
            <v>M0026</v>
          </cell>
          <cell r="N498" t="str">
            <v>Wojciech MACHAJ (Mielec)</v>
          </cell>
        </row>
        <row r="500">
          <cell r="B500" t="str">
            <v>zwycięzca(cy): 15:21,21:18,21:17</v>
          </cell>
          <cell r="K500" t="str">
            <v/>
          </cell>
        </row>
        <row r="501">
          <cell r="B501">
            <v>72</v>
          </cell>
          <cell r="C501" t="str">
            <v>dzień turnieju.</v>
          </cell>
          <cell r="I501" t="str">
            <v>Nr meczu</v>
          </cell>
          <cell r="N501" t="str">
            <v>Godz.</v>
          </cell>
          <cell r="R501" t="str">
            <v>S. prow.</v>
          </cell>
          <cell r="AF501" t="str">
            <v>wygrany</v>
          </cell>
          <cell r="AG501" t="str">
            <v>przegrany</v>
          </cell>
        </row>
        <row r="502">
          <cell r="B502" t="str">
            <v>Boisko</v>
          </cell>
          <cell r="C502" t="str">
            <v>Gra</v>
          </cell>
          <cell r="I502">
            <v>72</v>
          </cell>
          <cell r="N502" t="str">
            <v>rozp.</v>
          </cell>
          <cell r="P502" t="str">
            <v>zak.</v>
          </cell>
          <cell r="R502" t="str">
            <v>S. serw.</v>
          </cell>
        </row>
        <row r="503">
          <cell r="A503">
            <v>72</v>
          </cell>
          <cell r="C503" t="str">
            <v>Gra podwójna</v>
          </cell>
          <cell r="H503">
            <v>21</v>
          </cell>
          <cell r="I503">
            <v>6</v>
          </cell>
          <cell r="J503">
            <v>21</v>
          </cell>
          <cell r="K503">
            <v>4</v>
          </cell>
          <cell r="R503">
            <v>0</v>
          </cell>
          <cell r="S503" t="str">
            <v>godz.14:40</v>
          </cell>
          <cell r="X503">
            <v>72</v>
          </cell>
          <cell r="Y503" t="str">
            <v>Gra podwójna</v>
          </cell>
          <cell r="Z503" t="str">
            <v>K0011</v>
          </cell>
          <cell r="AA503" t="str">
            <v>S0030</v>
          </cell>
          <cell r="AB503" t="str">
            <v>R0016</v>
          </cell>
          <cell r="AC503" t="str">
            <v>H0006</v>
          </cell>
          <cell r="AD503" t="str">
            <v>K0011</v>
          </cell>
          <cell r="AE503" t="str">
            <v>S0030</v>
          </cell>
          <cell r="AF503" t="str">
            <v>21:6,21:4</v>
          </cell>
          <cell r="AG503" t="str">
            <v>6:21,4:21</v>
          </cell>
          <cell r="AH503" t="str">
            <v/>
          </cell>
          <cell r="AI503">
            <v>21</v>
          </cell>
          <cell r="AJ503">
            <v>6</v>
          </cell>
          <cell r="AK503">
            <v>21</v>
          </cell>
          <cell r="AL503">
            <v>4</v>
          </cell>
          <cell r="AM503">
            <v>0</v>
          </cell>
          <cell r="AN503">
            <v>0</v>
          </cell>
        </row>
        <row r="504">
          <cell r="A504" t="str">
            <v/>
          </cell>
          <cell r="B504" t="str">
            <v>Bartłomiej KOŚMIDER (Szczucin)</v>
          </cell>
          <cell r="H504" t="str">
            <v>K0011</v>
          </cell>
          <cell r="K504" t="str">
            <v>R0016</v>
          </cell>
          <cell r="N504" t="str">
            <v>Oliwia RYBIŃSKA (Mielec)</v>
          </cell>
        </row>
        <row r="505">
          <cell r="A505" t="str">
            <v/>
          </cell>
          <cell r="B505" t="str">
            <v>Karol SZYMURA (Szczucin)</v>
          </cell>
          <cell r="H505" t="str">
            <v>S0030</v>
          </cell>
          <cell r="K505" t="str">
            <v>H0006</v>
          </cell>
          <cell r="N505" t="str">
            <v>Natalia HAŁATA (Mielec)</v>
          </cell>
        </row>
        <row r="507">
          <cell r="B507" t="str">
            <v>zwycięzca(cy): 21:6,21:4</v>
          </cell>
          <cell r="K507" t="str">
            <v/>
          </cell>
        </row>
        <row r="508">
          <cell r="B508">
            <v>73</v>
          </cell>
          <cell r="C508" t="str">
            <v>dzień turnieju.</v>
          </cell>
          <cell r="I508" t="str">
            <v>Nr meczu</v>
          </cell>
          <cell r="N508" t="str">
            <v>Godz.</v>
          </cell>
          <cell r="R508" t="str">
            <v>S. prow.</v>
          </cell>
          <cell r="AF508" t="str">
            <v>wygrany</v>
          </cell>
          <cell r="AG508" t="str">
            <v>przegrany</v>
          </cell>
        </row>
        <row r="509">
          <cell r="B509" t="str">
            <v>Boisko</v>
          </cell>
          <cell r="C509" t="str">
            <v>Gra</v>
          </cell>
          <cell r="I509">
            <v>73</v>
          </cell>
          <cell r="N509" t="str">
            <v>rozp.</v>
          </cell>
          <cell r="P509" t="str">
            <v>zak.</v>
          </cell>
          <cell r="R509" t="str">
            <v>S. serw.</v>
          </cell>
        </row>
        <row r="510">
          <cell r="A510">
            <v>73</v>
          </cell>
          <cell r="C510" t="str">
            <v>Gra podwójna</v>
          </cell>
          <cell r="H510">
            <v>21</v>
          </cell>
          <cell r="I510">
            <v>8</v>
          </cell>
          <cell r="J510">
            <v>21</v>
          </cell>
          <cell r="K510">
            <v>11</v>
          </cell>
          <cell r="R510">
            <v>0</v>
          </cell>
          <cell r="S510" t="str">
            <v>godz.15:00</v>
          </cell>
          <cell r="X510">
            <v>73</v>
          </cell>
          <cell r="Y510" t="str">
            <v>Gra podwójna</v>
          </cell>
          <cell r="Z510" t="str">
            <v>K0012</v>
          </cell>
          <cell r="AA510" t="str">
            <v>D0008</v>
          </cell>
          <cell r="AB510" t="str">
            <v>S0028</v>
          </cell>
          <cell r="AC510" t="str">
            <v>S0029</v>
          </cell>
          <cell r="AD510" t="str">
            <v>K0012</v>
          </cell>
          <cell r="AE510" t="str">
            <v>D0008</v>
          </cell>
          <cell r="AF510" t="str">
            <v>21:8,21:11</v>
          </cell>
          <cell r="AG510" t="str">
            <v>8:21,11:21</v>
          </cell>
          <cell r="AH510" t="str">
            <v/>
          </cell>
          <cell r="AI510">
            <v>21</v>
          </cell>
          <cell r="AJ510">
            <v>8</v>
          </cell>
          <cell r="AK510">
            <v>21</v>
          </cell>
          <cell r="AL510">
            <v>11</v>
          </cell>
          <cell r="AM510">
            <v>0</v>
          </cell>
          <cell r="AN510">
            <v>0</v>
          </cell>
        </row>
        <row r="511">
          <cell r="A511" t="str">
            <v/>
          </cell>
          <cell r="B511" t="str">
            <v>Piotr KOTERBA (Rzeszów)</v>
          </cell>
          <cell r="H511" t="str">
            <v>K0012</v>
          </cell>
          <cell r="K511" t="str">
            <v>S0028</v>
          </cell>
          <cell r="N511" t="str">
            <v>Tobiasz SAŁAGAJ (Mielec)</v>
          </cell>
        </row>
        <row r="512">
          <cell r="A512" t="str">
            <v/>
          </cell>
          <cell r="B512" t="str">
            <v>Patrycja DOMAŃSKA (Rzeszów)</v>
          </cell>
          <cell r="H512" t="str">
            <v>D0008</v>
          </cell>
          <cell r="K512" t="str">
            <v>S0029</v>
          </cell>
          <cell r="N512" t="str">
            <v>Patryk STOLARZ (Mielec)</v>
          </cell>
        </row>
        <row r="514">
          <cell r="B514" t="str">
            <v>zwycięzca(cy): 21:8,21:11</v>
          </cell>
          <cell r="K514" t="str">
            <v/>
          </cell>
        </row>
        <row r="515">
          <cell r="B515">
            <v>74</v>
          </cell>
          <cell r="C515" t="str">
            <v>dzień turnieju.</v>
          </cell>
          <cell r="I515" t="str">
            <v>Nr meczu</v>
          </cell>
          <cell r="N515" t="str">
            <v>Godz.</v>
          </cell>
          <cell r="R515" t="str">
            <v>S. prow.</v>
          </cell>
          <cell r="AF515" t="str">
            <v>wygrany</v>
          </cell>
          <cell r="AG515" t="str">
            <v>przegrany</v>
          </cell>
        </row>
        <row r="516">
          <cell r="B516" t="str">
            <v>Boisko</v>
          </cell>
          <cell r="C516" t="str">
            <v>Gra</v>
          </cell>
          <cell r="I516">
            <v>74</v>
          </cell>
          <cell r="N516" t="str">
            <v>rozp.</v>
          </cell>
          <cell r="P516" t="str">
            <v>zak.</v>
          </cell>
          <cell r="R516" t="str">
            <v>S. serw.</v>
          </cell>
        </row>
        <row r="517">
          <cell r="A517">
            <v>74</v>
          </cell>
          <cell r="C517" t="str">
            <v>Gra podwójna</v>
          </cell>
          <cell r="H517">
            <v>11</v>
          </cell>
          <cell r="I517">
            <v>21</v>
          </cell>
          <cell r="J517">
            <v>14</v>
          </cell>
          <cell r="K517">
            <v>21</v>
          </cell>
          <cell r="R517">
            <v>0</v>
          </cell>
          <cell r="S517" t="str">
            <v>godz.15:00</v>
          </cell>
          <cell r="X517">
            <v>74</v>
          </cell>
          <cell r="Y517" t="str">
            <v>Gra podwójna</v>
          </cell>
          <cell r="Z517" t="str">
            <v>G0011</v>
          </cell>
          <cell r="AA517" t="str">
            <v>S0035</v>
          </cell>
          <cell r="AB517" t="str">
            <v>K0011</v>
          </cell>
          <cell r="AC517" t="str">
            <v>S0030</v>
          </cell>
          <cell r="AD517" t="str">
            <v>K0011</v>
          </cell>
          <cell r="AE517" t="str">
            <v>S0030</v>
          </cell>
          <cell r="AF517" t="str">
            <v>21:11,21:14</v>
          </cell>
          <cell r="AG517" t="str">
            <v>11:21,14:21</v>
          </cell>
          <cell r="AH517" t="str">
            <v/>
          </cell>
          <cell r="AI517">
            <v>11</v>
          </cell>
          <cell r="AJ517">
            <v>21</v>
          </cell>
          <cell r="AK517">
            <v>14</v>
          </cell>
          <cell r="AL517">
            <v>21</v>
          </cell>
          <cell r="AM517">
            <v>0</v>
          </cell>
          <cell r="AN517">
            <v>0</v>
          </cell>
        </row>
        <row r="518">
          <cell r="A518" t="str">
            <v/>
          </cell>
          <cell r="B518" t="str">
            <v>Jakub GERCZAK (Sanok)</v>
          </cell>
          <cell r="H518" t="str">
            <v>G0011</v>
          </cell>
          <cell r="K518" t="str">
            <v>K0011</v>
          </cell>
          <cell r="N518" t="str">
            <v>Bartłomiej KOŚMIDER (Szczucin)</v>
          </cell>
        </row>
        <row r="519">
          <cell r="A519" t="str">
            <v/>
          </cell>
          <cell r="B519" t="str">
            <v>Kuba SITEK (Rzeszów)</v>
          </cell>
          <cell r="H519" t="str">
            <v>S0035</v>
          </cell>
          <cell r="K519" t="str">
            <v>S0030</v>
          </cell>
          <cell r="N519" t="str">
            <v>Karol SZYMURA (Szczucin)</v>
          </cell>
        </row>
        <row r="521">
          <cell r="B521" t="str">
            <v/>
          </cell>
          <cell r="K521" t="str">
            <v>zwycięzca(cy): 21:11,21:14</v>
          </cell>
        </row>
        <row r="522">
          <cell r="B522">
            <v>75</v>
          </cell>
          <cell r="C522" t="str">
            <v>dzień turnieju.</v>
          </cell>
          <cell r="I522" t="str">
            <v>Nr meczu</v>
          </cell>
          <cell r="N522" t="str">
            <v>Godz.</v>
          </cell>
          <cell r="R522" t="str">
            <v>S. prow.</v>
          </cell>
          <cell r="AF522" t="str">
            <v>wygrany</v>
          </cell>
          <cell r="AG522" t="str">
            <v>przegrany</v>
          </cell>
        </row>
        <row r="523">
          <cell r="B523" t="str">
            <v>Boisko</v>
          </cell>
          <cell r="C523" t="str">
            <v>Gra</v>
          </cell>
          <cell r="I523">
            <v>75</v>
          </cell>
          <cell r="N523" t="str">
            <v>rozp.</v>
          </cell>
          <cell r="P523" t="str">
            <v>zak.</v>
          </cell>
          <cell r="R523" t="str">
            <v>S. serw.</v>
          </cell>
        </row>
        <row r="524">
          <cell r="A524">
            <v>75</v>
          </cell>
          <cell r="C524" t="str">
            <v>Gra podwójna</v>
          </cell>
          <cell r="H524">
            <v>21</v>
          </cell>
          <cell r="I524">
            <v>19</v>
          </cell>
          <cell r="J524">
            <v>17</v>
          </cell>
          <cell r="K524">
            <v>21</v>
          </cell>
          <cell r="L524">
            <v>28</v>
          </cell>
          <cell r="M524">
            <v>26</v>
          </cell>
          <cell r="R524">
            <v>0</v>
          </cell>
          <cell r="S524" t="str">
            <v>godz.15:00</v>
          </cell>
          <cell r="X524">
            <v>75</v>
          </cell>
          <cell r="Y524" t="str">
            <v>Gra podwójna</v>
          </cell>
          <cell r="Z524" t="str">
            <v>S0028</v>
          </cell>
          <cell r="AA524" t="str">
            <v>S0029</v>
          </cell>
          <cell r="AB524" t="str">
            <v>G0011</v>
          </cell>
          <cell r="AC524" t="str">
            <v>S0035</v>
          </cell>
          <cell r="AD524" t="str">
            <v>S0028</v>
          </cell>
          <cell r="AE524" t="str">
            <v>S0029</v>
          </cell>
          <cell r="AF524" t="str">
            <v>21:19,17:21,28:26</v>
          </cell>
          <cell r="AG524" t="str">
            <v>19:21,21:17,26:28</v>
          </cell>
          <cell r="AH524" t="str">
            <v/>
          </cell>
          <cell r="AI524">
            <v>21</v>
          </cell>
          <cell r="AJ524">
            <v>19</v>
          </cell>
          <cell r="AK524">
            <v>17</v>
          </cell>
          <cell r="AL524">
            <v>21</v>
          </cell>
          <cell r="AM524">
            <v>28</v>
          </cell>
          <cell r="AN524">
            <v>26</v>
          </cell>
        </row>
        <row r="525">
          <cell r="A525" t="str">
            <v/>
          </cell>
          <cell r="B525" t="str">
            <v>Tobiasz SAŁAGAJ (Mielec)</v>
          </cell>
          <cell r="H525" t="str">
            <v>S0028</v>
          </cell>
          <cell r="K525" t="str">
            <v>G0011</v>
          </cell>
          <cell r="N525" t="str">
            <v>Jakub GERCZAK (Sanok)</v>
          </cell>
        </row>
        <row r="526">
          <cell r="A526" t="str">
            <v/>
          </cell>
          <cell r="B526" t="str">
            <v>Patryk STOLARZ (Mielec)</v>
          </cell>
          <cell r="H526" t="str">
            <v>S0029</v>
          </cell>
          <cell r="K526" t="str">
            <v>S0035</v>
          </cell>
          <cell r="N526" t="str">
            <v>Kuba SITEK (Rzeszów)</v>
          </cell>
        </row>
        <row r="528">
          <cell r="B528" t="str">
            <v>zwycięzca(cy): 21:19,17:21,28:26</v>
          </cell>
          <cell r="K528" t="str">
            <v/>
          </cell>
        </row>
        <row r="529">
          <cell r="B529">
            <v>76</v>
          </cell>
          <cell r="C529" t="str">
            <v>dzień turnieju.</v>
          </cell>
          <cell r="I529" t="str">
            <v>Nr meczu</v>
          </cell>
          <cell r="N529" t="str">
            <v>Godz.</v>
          </cell>
          <cell r="R529" t="str">
            <v>S. prow.</v>
          </cell>
          <cell r="AF529" t="str">
            <v>wygrany</v>
          </cell>
          <cell r="AG529" t="str">
            <v>przegrany</v>
          </cell>
        </row>
        <row r="530">
          <cell r="B530" t="str">
            <v>Boisko</v>
          </cell>
          <cell r="C530" t="str">
            <v>Gra</v>
          </cell>
          <cell r="I530">
            <v>76</v>
          </cell>
          <cell r="N530" t="str">
            <v>rozp.</v>
          </cell>
          <cell r="P530" t="str">
            <v>zak.</v>
          </cell>
          <cell r="R530" t="str">
            <v>S. serw.</v>
          </cell>
        </row>
        <row r="531">
          <cell r="A531">
            <v>76</v>
          </cell>
          <cell r="C531" t="str">
            <v>Gra podwójna</v>
          </cell>
          <cell r="H531">
            <v>5</v>
          </cell>
          <cell r="I531">
            <v>21</v>
          </cell>
          <cell r="J531">
            <v>11</v>
          </cell>
          <cell r="K531">
            <v>21</v>
          </cell>
          <cell r="R531">
            <v>0</v>
          </cell>
          <cell r="S531" t="str">
            <v>godz.15:00</v>
          </cell>
          <cell r="X531">
            <v>76</v>
          </cell>
          <cell r="Y531" t="str">
            <v>Gra podwójna</v>
          </cell>
          <cell r="Z531" t="str">
            <v>K0012</v>
          </cell>
          <cell r="AA531" t="str">
            <v>D0008</v>
          </cell>
          <cell r="AB531" t="str">
            <v>K0011</v>
          </cell>
          <cell r="AC531" t="str">
            <v>S0030</v>
          </cell>
          <cell r="AD531" t="str">
            <v>K0011</v>
          </cell>
          <cell r="AE531" t="str">
            <v>S0030</v>
          </cell>
          <cell r="AF531" t="str">
            <v>21:5,21:11</v>
          </cell>
          <cell r="AG531" t="str">
            <v>5:21,11:21</v>
          </cell>
          <cell r="AH531" t="str">
            <v/>
          </cell>
          <cell r="AI531">
            <v>5</v>
          </cell>
          <cell r="AJ531">
            <v>21</v>
          </cell>
          <cell r="AK531">
            <v>11</v>
          </cell>
          <cell r="AL531">
            <v>21</v>
          </cell>
          <cell r="AM531">
            <v>0</v>
          </cell>
          <cell r="AN531">
            <v>0</v>
          </cell>
        </row>
        <row r="532">
          <cell r="A532" t="str">
            <v/>
          </cell>
          <cell r="B532" t="str">
            <v>Piotr KOTERBA (Rzeszów)</v>
          </cell>
          <cell r="H532" t="str">
            <v>K0012</v>
          </cell>
          <cell r="K532" t="str">
            <v>K0011</v>
          </cell>
          <cell r="N532" t="str">
            <v>Bartłomiej KOŚMIDER (Szczucin)</v>
          </cell>
        </row>
        <row r="533">
          <cell r="A533" t="str">
            <v/>
          </cell>
          <cell r="B533" t="str">
            <v>Patrycja DOMAŃSKA (Rzeszów)</v>
          </cell>
          <cell r="H533" t="str">
            <v>D0008</v>
          </cell>
          <cell r="K533" t="str">
            <v>S0030</v>
          </cell>
          <cell r="N533" t="str">
            <v>Karol SZYMURA (Szczucin)</v>
          </cell>
        </row>
        <row r="535">
          <cell r="B535" t="str">
            <v/>
          </cell>
          <cell r="K535" t="str">
            <v>zwycięzca(cy): 21:5,21:11</v>
          </cell>
        </row>
      </sheetData>
      <sheetData sheetId="8">
        <row r="1">
          <cell r="A1" t="str">
            <v>PZBADNR</v>
          </cell>
          <cell r="B1" t="str">
            <v>IMIĘ</v>
          </cell>
          <cell r="C1" t="str">
            <v>NAZWISKO</v>
          </cell>
          <cell r="D1" t="str">
            <v>KLUB</v>
          </cell>
          <cell r="E1" t="str">
            <v>Dane zawodników z dnia 2011-02-09</v>
          </cell>
        </row>
        <row r="2">
          <cell r="A2" t="str">
            <v>B0001</v>
          </cell>
          <cell r="B2" t="str">
            <v>Maciej</v>
          </cell>
          <cell r="C2" t="str">
            <v>BARAN</v>
          </cell>
          <cell r="D2" t="str">
            <v>Rzeszów</v>
          </cell>
        </row>
        <row r="3">
          <cell r="A3" t="str">
            <v>B0002</v>
          </cell>
          <cell r="B3" t="str">
            <v>Kinga</v>
          </cell>
          <cell r="C3" t="str">
            <v>BAZAN</v>
          </cell>
          <cell r="D3" t="str">
            <v>Sokołów Młp.</v>
          </cell>
        </row>
        <row r="4">
          <cell r="A4" t="str">
            <v>B0003</v>
          </cell>
          <cell r="B4" t="str">
            <v>Tadeusz</v>
          </cell>
          <cell r="C4" t="str">
            <v>BAZAN</v>
          </cell>
          <cell r="D4" t="str">
            <v>Sokołów Młp.</v>
          </cell>
        </row>
        <row r="5">
          <cell r="A5" t="str">
            <v>B0004</v>
          </cell>
          <cell r="B5" t="str">
            <v>Mateusz</v>
          </cell>
          <cell r="C5" t="str">
            <v>BIELASZKA</v>
          </cell>
          <cell r="D5" t="str">
            <v>Szczucin</v>
          </cell>
        </row>
        <row r="6">
          <cell r="A6" t="str">
            <v>B0005</v>
          </cell>
          <cell r="B6" t="str">
            <v>Stanisław</v>
          </cell>
          <cell r="C6" t="str">
            <v>BIELSKI </v>
          </cell>
          <cell r="D6" t="str">
            <v>Nowa Dęba</v>
          </cell>
        </row>
        <row r="7">
          <cell r="A7" t="str">
            <v>B0006</v>
          </cell>
          <cell r="B7" t="str">
            <v>Adrian</v>
          </cell>
          <cell r="C7" t="str">
            <v>BOGDAN</v>
          </cell>
          <cell r="D7" t="str">
            <v>Nowa Dęba</v>
          </cell>
        </row>
        <row r="8">
          <cell r="A8" t="str">
            <v>B0007</v>
          </cell>
          <cell r="B8" t="str">
            <v>Jakub</v>
          </cell>
          <cell r="C8" t="str">
            <v>BOJARSKI</v>
          </cell>
          <cell r="D8" t="str">
            <v>Tarnobrzeg</v>
          </cell>
        </row>
        <row r="9">
          <cell r="A9" t="str">
            <v>B0008</v>
          </cell>
          <cell r="B9" t="str">
            <v>Wojciech</v>
          </cell>
          <cell r="C9" t="str">
            <v>BUCZYŃSKI</v>
          </cell>
          <cell r="D9" t="str">
            <v>Straszęcin</v>
          </cell>
        </row>
        <row r="10">
          <cell r="A10" t="str">
            <v>B0009</v>
          </cell>
          <cell r="B10" t="str">
            <v>Adam</v>
          </cell>
          <cell r="C10" t="str">
            <v>BUNIO</v>
          </cell>
          <cell r="D10" t="str">
            <v>Nowa Dęba</v>
          </cell>
        </row>
        <row r="11">
          <cell r="A11" t="str">
            <v>B0010</v>
          </cell>
          <cell r="B11" t="str">
            <v>Tomasz</v>
          </cell>
          <cell r="C11" t="str">
            <v>BIENIEK</v>
          </cell>
          <cell r="D11" t="str">
            <v>Mielec</v>
          </cell>
        </row>
        <row r="12">
          <cell r="A12" t="str">
            <v>B0011</v>
          </cell>
          <cell r="B12" t="str">
            <v>Aleksandra</v>
          </cell>
          <cell r="C12" t="str">
            <v>BIAŁEK</v>
          </cell>
          <cell r="D12" t="str">
            <v>Widełka</v>
          </cell>
        </row>
        <row r="13">
          <cell r="A13" t="str">
            <v>B0012</v>
          </cell>
          <cell r="B13" t="str">
            <v>Wiesław</v>
          </cell>
          <cell r="C13" t="str">
            <v>BĄK</v>
          </cell>
          <cell r="D13" t="str">
            <v>Jarosław</v>
          </cell>
        </row>
        <row r="14">
          <cell r="A14" t="str">
            <v>B0013</v>
          </cell>
          <cell r="B14" t="str">
            <v>Andrzej</v>
          </cell>
          <cell r="C14" t="str">
            <v>BURLIKOWSKI</v>
          </cell>
          <cell r="D14" t="str">
            <v>Jarosław</v>
          </cell>
        </row>
        <row r="15">
          <cell r="A15" t="str">
            <v>B0014</v>
          </cell>
          <cell r="B15" t="str">
            <v>Jozsef</v>
          </cell>
          <cell r="C15" t="str">
            <v>BOZSO</v>
          </cell>
          <cell r="D15" t="str">
            <v>Szolnok (Hungary)</v>
          </cell>
        </row>
        <row r="16">
          <cell r="A16" t="str">
            <v>B0015</v>
          </cell>
          <cell r="B16" t="str">
            <v>Tomasz</v>
          </cell>
          <cell r="C16" t="str">
            <v>BARAN</v>
          </cell>
          <cell r="D16" t="str">
            <v>Krosno</v>
          </cell>
        </row>
        <row r="17">
          <cell r="A17" t="str">
            <v>B0016</v>
          </cell>
          <cell r="B17" t="str">
            <v>Krzysztof</v>
          </cell>
          <cell r="C17" t="str">
            <v>BIELSKI</v>
          </cell>
          <cell r="D17" t="str">
            <v>Krosno</v>
          </cell>
        </row>
        <row r="18">
          <cell r="A18" t="str">
            <v>B0017</v>
          </cell>
          <cell r="B18" t="str">
            <v>Krzysztof</v>
          </cell>
          <cell r="C18" t="str">
            <v>BUTRYN</v>
          </cell>
          <cell r="D18" t="str">
            <v>Stalowa Wola</v>
          </cell>
        </row>
        <row r="19">
          <cell r="A19" t="str">
            <v>B0018</v>
          </cell>
          <cell r="B19" t="str">
            <v>Jacek</v>
          </cell>
          <cell r="C19" t="str">
            <v>BEDNARZ</v>
          </cell>
          <cell r="D19" t="str">
            <v>Stalowa Wola</v>
          </cell>
        </row>
        <row r="20">
          <cell r="A20" t="str">
            <v>B0019</v>
          </cell>
          <cell r="B20" t="str">
            <v>Maciej</v>
          </cell>
          <cell r="C20" t="str">
            <v>BZYMEK-POLAŃSKI</v>
          </cell>
          <cell r="D20" t="str">
            <v>Stalowa Wola</v>
          </cell>
        </row>
        <row r="21">
          <cell r="A21" t="str">
            <v>C0001</v>
          </cell>
          <cell r="B21" t="str">
            <v>Mateusz</v>
          </cell>
          <cell r="C21" t="str">
            <v>CIURKOT</v>
          </cell>
          <cell r="D21" t="str">
            <v>Straszęcin</v>
          </cell>
        </row>
        <row r="22">
          <cell r="A22" t="str">
            <v>C0002</v>
          </cell>
          <cell r="B22" t="str">
            <v>Cezary</v>
          </cell>
          <cell r="C22" t="str">
            <v>CYNKIER</v>
          </cell>
          <cell r="D22" t="str">
            <v>Sokołów Młp.</v>
          </cell>
        </row>
        <row r="23">
          <cell r="A23" t="str">
            <v>C0003</v>
          </cell>
          <cell r="B23" t="str">
            <v>Jakub</v>
          </cell>
          <cell r="C23" t="str">
            <v>CZACHOR</v>
          </cell>
          <cell r="D23" t="str">
            <v>Mielec</v>
          </cell>
        </row>
        <row r="24">
          <cell r="A24" t="str">
            <v>C0004</v>
          </cell>
          <cell r="B24" t="str">
            <v>Mateusz</v>
          </cell>
          <cell r="C24" t="str">
            <v>CZUB</v>
          </cell>
          <cell r="D24" t="str">
            <v>Szczucin</v>
          </cell>
        </row>
        <row r="25">
          <cell r="A25" t="str">
            <v>C0005</v>
          </cell>
          <cell r="B25" t="str">
            <v>Bartosz</v>
          </cell>
          <cell r="C25" t="str">
            <v>CURZYTEK</v>
          </cell>
          <cell r="D25" t="str">
            <v>Ropczyce</v>
          </cell>
        </row>
        <row r="26">
          <cell r="A26" t="str">
            <v>C0006</v>
          </cell>
          <cell r="B26" t="str">
            <v>Mateusz</v>
          </cell>
          <cell r="C26" t="str">
            <v>CZACHOR</v>
          </cell>
          <cell r="D26" t="str">
            <v>Nowa Dęba</v>
          </cell>
        </row>
        <row r="27">
          <cell r="A27" t="str">
            <v>C0007</v>
          </cell>
          <cell r="B27" t="str">
            <v>Krystian </v>
          </cell>
          <cell r="C27" t="str">
            <v>CHRZĄŚCIK</v>
          </cell>
          <cell r="D27" t="str">
            <v>Gorlice</v>
          </cell>
        </row>
        <row r="28">
          <cell r="A28" t="str">
            <v>C0008</v>
          </cell>
          <cell r="B28" t="str">
            <v>Dariusz</v>
          </cell>
          <cell r="C28" t="str">
            <v>CZARNECKI</v>
          </cell>
          <cell r="D28" t="str">
            <v>Tarnobrzeg</v>
          </cell>
        </row>
        <row r="29">
          <cell r="A29" t="str">
            <v>D0001</v>
          </cell>
          <cell r="B29" t="str">
            <v>Mariusz</v>
          </cell>
          <cell r="C29" t="str">
            <v>DEREŃ</v>
          </cell>
          <cell r="D29" t="str">
            <v>Leżajsk</v>
          </cell>
        </row>
        <row r="30">
          <cell r="A30" t="str">
            <v>D0002</v>
          </cell>
          <cell r="B30" t="str">
            <v>Aleksandra</v>
          </cell>
          <cell r="C30" t="str">
            <v>DERNOGA </v>
          </cell>
          <cell r="D30" t="str">
            <v>Szczucin</v>
          </cell>
        </row>
        <row r="31">
          <cell r="A31" t="str">
            <v>D0003</v>
          </cell>
          <cell r="B31" t="str">
            <v>Łukasz</v>
          </cell>
          <cell r="C31" t="str">
            <v>DYCHA</v>
          </cell>
          <cell r="D31" t="str">
            <v>Nowa Dęba</v>
          </cell>
        </row>
        <row r="32">
          <cell r="A32" t="str">
            <v>D0004</v>
          </cell>
          <cell r="B32" t="str">
            <v>Rafał</v>
          </cell>
          <cell r="C32" t="str">
            <v>DYCHTOŃ</v>
          </cell>
          <cell r="D32" t="str">
            <v>Tarnów</v>
          </cell>
        </row>
        <row r="33">
          <cell r="A33" t="str">
            <v>D0005</v>
          </cell>
          <cell r="B33" t="str">
            <v>Radosław</v>
          </cell>
          <cell r="C33" t="str">
            <v>DZIURA</v>
          </cell>
          <cell r="D33" t="str">
            <v>Szczucin</v>
          </cell>
        </row>
        <row r="34">
          <cell r="A34" t="str">
            <v>D0006</v>
          </cell>
          <cell r="B34" t="str">
            <v>Krzysztof</v>
          </cell>
          <cell r="C34" t="str">
            <v>DUBIEL</v>
          </cell>
          <cell r="D34" t="str">
            <v>Strzyżów</v>
          </cell>
        </row>
        <row r="35">
          <cell r="A35" t="str">
            <v>D0007</v>
          </cell>
          <cell r="B35" t="str">
            <v>Karolina</v>
          </cell>
          <cell r="C35" t="str">
            <v>DZIEKAN</v>
          </cell>
          <cell r="D35" t="str">
            <v>Mielec</v>
          </cell>
        </row>
        <row r="36">
          <cell r="A36" t="str">
            <v>D0008</v>
          </cell>
          <cell r="B36" t="str">
            <v>Patrycja</v>
          </cell>
          <cell r="C36" t="str">
            <v>DOMAŃSKA</v>
          </cell>
          <cell r="D36" t="str">
            <v>Rzeszów</v>
          </cell>
        </row>
        <row r="37">
          <cell r="A37" t="str">
            <v>D0009</v>
          </cell>
          <cell r="B37" t="str">
            <v>Adrian</v>
          </cell>
          <cell r="C37" t="str">
            <v>DZIEKAN</v>
          </cell>
          <cell r="D37" t="str">
            <v>Mielec</v>
          </cell>
        </row>
        <row r="38">
          <cell r="A38" t="str">
            <v>F0001</v>
          </cell>
          <cell r="B38" t="str">
            <v>Mariusz</v>
          </cell>
          <cell r="C38" t="str">
            <v>FERFECKI</v>
          </cell>
          <cell r="D38" t="str">
            <v>Ropczyce</v>
          </cell>
        </row>
        <row r="39">
          <cell r="A39" t="str">
            <v>F0002</v>
          </cell>
          <cell r="B39" t="str">
            <v>Wojciech</v>
          </cell>
          <cell r="C39" t="str">
            <v>FILEMONOWICZ</v>
          </cell>
          <cell r="D39" t="str">
            <v>Tarnów</v>
          </cell>
        </row>
        <row r="40">
          <cell r="A40" t="str">
            <v>F0003</v>
          </cell>
          <cell r="B40" t="str">
            <v>Grzegorz</v>
          </cell>
          <cell r="C40" t="str">
            <v>FIJAŁKOWSKI</v>
          </cell>
          <cell r="D40" t="str">
            <v>Mielec</v>
          </cell>
        </row>
        <row r="41">
          <cell r="A41" t="str">
            <v>G0001</v>
          </cell>
          <cell r="B41" t="str">
            <v>Agnieszka</v>
          </cell>
          <cell r="C41" t="str">
            <v>GAWEŁ</v>
          </cell>
          <cell r="D41" t="str">
            <v>Widełka</v>
          </cell>
        </row>
        <row r="42">
          <cell r="A42" t="str">
            <v>G0002</v>
          </cell>
          <cell r="B42" t="str">
            <v>Jarosław</v>
          </cell>
          <cell r="C42" t="str">
            <v>GÓRSKI</v>
          </cell>
          <cell r="D42" t="str">
            <v>Gorlice</v>
          </cell>
        </row>
        <row r="43">
          <cell r="A43" t="str">
            <v>G0003</v>
          </cell>
          <cell r="B43" t="str">
            <v>Marcin</v>
          </cell>
          <cell r="C43" t="str">
            <v>GRUSZKOWSKI</v>
          </cell>
          <cell r="D43" t="str">
            <v>Gorlice</v>
          </cell>
        </row>
        <row r="44">
          <cell r="A44" t="str">
            <v>G0004</v>
          </cell>
          <cell r="B44" t="str">
            <v>Marcin</v>
          </cell>
          <cell r="C44" t="str">
            <v>GZYL</v>
          </cell>
          <cell r="D44" t="str">
            <v>Tarnów</v>
          </cell>
        </row>
        <row r="45">
          <cell r="A45" t="str">
            <v>G0005</v>
          </cell>
          <cell r="B45" t="str">
            <v>Bogdan</v>
          </cell>
          <cell r="C45" t="str">
            <v>GUNIA</v>
          </cell>
          <cell r="D45" t="str">
            <v>Nowa Dęba</v>
          </cell>
        </row>
        <row r="46">
          <cell r="A46" t="str">
            <v>G0006</v>
          </cell>
          <cell r="B46" t="str">
            <v>Cyprian</v>
          </cell>
          <cell r="C46" t="str">
            <v>GERWATOWSKI</v>
          </cell>
          <cell r="D46" t="str">
            <v>Kraków</v>
          </cell>
        </row>
        <row r="47">
          <cell r="A47" t="str">
            <v>G0007</v>
          </cell>
          <cell r="B47" t="str">
            <v>Wojciech</v>
          </cell>
          <cell r="C47" t="str">
            <v>GAWROŃSKI</v>
          </cell>
          <cell r="D47" t="str">
            <v>Kraków</v>
          </cell>
        </row>
        <row r="48">
          <cell r="A48" t="str">
            <v>G0008</v>
          </cell>
          <cell r="B48" t="str">
            <v>Marcin</v>
          </cell>
          <cell r="C48" t="str">
            <v>GRZEGORSKI</v>
          </cell>
          <cell r="D48" t="str">
            <v>Ropczyce</v>
          </cell>
        </row>
        <row r="49">
          <cell r="A49" t="str">
            <v>G0009</v>
          </cell>
          <cell r="B49" t="str">
            <v>Mateusz</v>
          </cell>
          <cell r="C49" t="str">
            <v>GOLATOWSKI</v>
          </cell>
          <cell r="D49" t="str">
            <v>Przemyśl</v>
          </cell>
        </row>
        <row r="50">
          <cell r="A50" t="str">
            <v>G0010</v>
          </cell>
          <cell r="B50" t="str">
            <v>Przemysław</v>
          </cell>
          <cell r="C50" t="str">
            <v>GRZESZKOWIAK</v>
          </cell>
          <cell r="D50" t="str">
            <v>Warszawa</v>
          </cell>
        </row>
        <row r="51">
          <cell r="A51" t="str">
            <v>G0011</v>
          </cell>
          <cell r="B51" t="str">
            <v>Jakub</v>
          </cell>
          <cell r="C51" t="str">
            <v>GERCZAK</v>
          </cell>
          <cell r="D51" t="str">
            <v>Sanok</v>
          </cell>
        </row>
        <row r="52">
          <cell r="A52" t="str">
            <v>G0012</v>
          </cell>
          <cell r="B52" t="str">
            <v>Joanna</v>
          </cell>
          <cell r="C52" t="str">
            <v>GRZESIAK</v>
          </cell>
          <cell r="D52" t="str">
            <v>Szczucin</v>
          </cell>
        </row>
        <row r="53">
          <cell r="A53" t="str">
            <v>G0013</v>
          </cell>
          <cell r="B53" t="str">
            <v>Bartosz</v>
          </cell>
          <cell r="C53" t="str">
            <v>GROCHOCKI</v>
          </cell>
          <cell r="D53" t="str">
            <v>Mielec</v>
          </cell>
        </row>
        <row r="54">
          <cell r="A54" t="str">
            <v>G0014</v>
          </cell>
          <cell r="B54" t="str">
            <v>Eryk</v>
          </cell>
          <cell r="C54" t="str">
            <v>GŁOWACKI</v>
          </cell>
          <cell r="D54" t="str">
            <v>Tarnowiec</v>
          </cell>
        </row>
        <row r="55">
          <cell r="A55" t="str">
            <v>G0015</v>
          </cell>
          <cell r="B55" t="str">
            <v>Piotr</v>
          </cell>
          <cell r="C55" t="str">
            <v>GŁOWACKI</v>
          </cell>
          <cell r="D55" t="str">
            <v>Tarnowiec</v>
          </cell>
        </row>
        <row r="56">
          <cell r="A56" t="str">
            <v>G0016</v>
          </cell>
          <cell r="B56" t="str">
            <v>Wiktoria</v>
          </cell>
          <cell r="C56" t="str">
            <v>GRĄDZKA</v>
          </cell>
          <cell r="D56" t="str">
            <v>Mielec</v>
          </cell>
        </row>
        <row r="57">
          <cell r="A57" t="str">
            <v>G0017</v>
          </cell>
          <cell r="B57" t="str">
            <v>Grzegorz</v>
          </cell>
          <cell r="C57" t="str">
            <v>GODZWAN</v>
          </cell>
          <cell r="D57" t="str">
            <v>Rzeszów</v>
          </cell>
        </row>
        <row r="58">
          <cell r="A58" t="str">
            <v>H0001</v>
          </cell>
          <cell r="B58" t="str">
            <v>Krzysztof</v>
          </cell>
          <cell r="C58" t="str">
            <v>HAŁKA</v>
          </cell>
          <cell r="D58" t="str">
            <v>Nowa Dęba</v>
          </cell>
        </row>
        <row r="59">
          <cell r="A59" t="str">
            <v>H0002</v>
          </cell>
          <cell r="B59" t="str">
            <v>Maria</v>
          </cell>
          <cell r="C59" t="str">
            <v>HAŁKA</v>
          </cell>
          <cell r="D59" t="str">
            <v>Nowa Dęba</v>
          </cell>
        </row>
        <row r="60">
          <cell r="A60" t="str">
            <v>H0003</v>
          </cell>
          <cell r="B60" t="str">
            <v>Lidia</v>
          </cell>
          <cell r="C60" t="str">
            <v>HASSMAN</v>
          </cell>
          <cell r="D60" t="str">
            <v>Sokołów Młp.</v>
          </cell>
        </row>
        <row r="61">
          <cell r="A61" t="str">
            <v>H0004</v>
          </cell>
          <cell r="B61" t="str">
            <v>Monika</v>
          </cell>
          <cell r="C61" t="str">
            <v>HONKOWICZ</v>
          </cell>
          <cell r="D61" t="str">
            <v>Gorlice</v>
          </cell>
        </row>
        <row r="62">
          <cell r="A62" t="str">
            <v>H0005</v>
          </cell>
          <cell r="B62" t="str">
            <v>Filip</v>
          </cell>
          <cell r="C62" t="str">
            <v>HOŁOWICKI</v>
          </cell>
          <cell r="D62" t="str">
            <v>Mielec</v>
          </cell>
        </row>
        <row r="63">
          <cell r="A63" t="str">
            <v>H0006</v>
          </cell>
          <cell r="B63" t="str">
            <v>Natalia</v>
          </cell>
          <cell r="C63" t="str">
            <v>HAŁATA</v>
          </cell>
          <cell r="D63" t="str">
            <v>Mielec</v>
          </cell>
        </row>
        <row r="64">
          <cell r="A64" t="str">
            <v>I0001</v>
          </cell>
          <cell r="B64" t="str">
            <v>Michał</v>
          </cell>
          <cell r="C64" t="str">
            <v>IWANIEC</v>
          </cell>
          <cell r="D64" t="str">
            <v>Tarnów</v>
          </cell>
        </row>
        <row r="65">
          <cell r="A65" t="str">
            <v>I0002</v>
          </cell>
          <cell r="B65" t="str">
            <v>Igor</v>
          </cell>
          <cell r="C65" t="str">
            <v>IWAŃSKI</v>
          </cell>
          <cell r="D65" t="str">
            <v>Mielec</v>
          </cell>
        </row>
        <row r="66">
          <cell r="A66" t="str">
            <v>J0001</v>
          </cell>
          <cell r="B66" t="str">
            <v>Mateusz</v>
          </cell>
          <cell r="C66" t="str">
            <v>JĘDRZEJKO</v>
          </cell>
          <cell r="D66" t="str">
            <v>Rzeszów</v>
          </cell>
        </row>
        <row r="67">
          <cell r="A67" t="str">
            <v>J0002</v>
          </cell>
          <cell r="B67" t="str">
            <v>Bartosz</v>
          </cell>
          <cell r="C67" t="str">
            <v>JABŁOŃSKI</v>
          </cell>
          <cell r="D67" t="str">
            <v>Połaniec</v>
          </cell>
        </row>
        <row r="68">
          <cell r="A68" t="str">
            <v>J0003</v>
          </cell>
          <cell r="B68" t="str">
            <v>Paulina</v>
          </cell>
          <cell r="C68" t="str">
            <v>JANUS</v>
          </cell>
          <cell r="D68" t="str">
            <v>Mielec</v>
          </cell>
        </row>
        <row r="69">
          <cell r="A69" t="str">
            <v>J0004</v>
          </cell>
          <cell r="B69" t="str">
            <v>Patryk</v>
          </cell>
          <cell r="C69" t="str">
            <v>JUREK</v>
          </cell>
          <cell r="D69" t="str">
            <v>Stalowa Wola</v>
          </cell>
        </row>
        <row r="70">
          <cell r="A70" t="str">
            <v>J0005</v>
          </cell>
          <cell r="B70" t="str">
            <v>Tomasz</v>
          </cell>
          <cell r="C70" t="str">
            <v>JENDRYASSEK</v>
          </cell>
          <cell r="D70" t="str">
            <v>Rzeszów</v>
          </cell>
        </row>
        <row r="71">
          <cell r="A71" t="str">
            <v>K0001</v>
          </cell>
          <cell r="B71" t="str">
            <v>Marcin</v>
          </cell>
          <cell r="C71" t="str">
            <v>KALTENBERG</v>
          </cell>
          <cell r="D71" t="str">
            <v>Tarnobrzeg</v>
          </cell>
        </row>
        <row r="72">
          <cell r="A72" t="str">
            <v>K0002</v>
          </cell>
          <cell r="B72" t="str">
            <v>Mirosław</v>
          </cell>
          <cell r="C72" t="str">
            <v>KARKUT</v>
          </cell>
          <cell r="D72" t="str">
            <v>Widełka</v>
          </cell>
        </row>
        <row r="73">
          <cell r="A73" t="str">
            <v>K0003</v>
          </cell>
          <cell r="B73" t="str">
            <v>Robert</v>
          </cell>
          <cell r="C73" t="str">
            <v>KARNASIEWICZ</v>
          </cell>
          <cell r="D73" t="str">
            <v>Mielec</v>
          </cell>
        </row>
        <row r="74">
          <cell r="A74" t="str">
            <v>K0004</v>
          </cell>
          <cell r="B74" t="str">
            <v>Kinga</v>
          </cell>
          <cell r="C74" t="str">
            <v>KATRA</v>
          </cell>
          <cell r="D74" t="str">
            <v>Nowa Dęba</v>
          </cell>
        </row>
        <row r="75">
          <cell r="A75" t="str">
            <v>K0005</v>
          </cell>
          <cell r="B75" t="str">
            <v>Leszek</v>
          </cell>
          <cell r="C75" t="str">
            <v>KIWAK</v>
          </cell>
          <cell r="D75" t="str">
            <v>Kolbuszowa</v>
          </cell>
        </row>
        <row r="76">
          <cell r="A76" t="str">
            <v>K0006</v>
          </cell>
          <cell r="B76" t="str">
            <v>Klaudia</v>
          </cell>
          <cell r="C76" t="str">
            <v>KLIŚ</v>
          </cell>
          <cell r="D76" t="str">
            <v>Szczucin</v>
          </cell>
        </row>
        <row r="77">
          <cell r="A77" t="str">
            <v>K0007</v>
          </cell>
          <cell r="B77" t="str">
            <v>Jerzy</v>
          </cell>
          <cell r="C77" t="str">
            <v>KNOT</v>
          </cell>
          <cell r="D77" t="str">
            <v>Gorlice</v>
          </cell>
        </row>
        <row r="78">
          <cell r="A78" t="str">
            <v>K0008</v>
          </cell>
          <cell r="B78" t="str">
            <v>Maciej</v>
          </cell>
          <cell r="C78" t="str">
            <v>KNOT</v>
          </cell>
          <cell r="D78" t="str">
            <v>Gorlice</v>
          </cell>
        </row>
        <row r="79">
          <cell r="A79" t="str">
            <v>K0009</v>
          </cell>
          <cell r="B79" t="str">
            <v>Filip</v>
          </cell>
          <cell r="C79" t="str">
            <v>KOC</v>
          </cell>
          <cell r="D79" t="str">
            <v>Sokołów Młp.</v>
          </cell>
        </row>
        <row r="80">
          <cell r="A80" t="str">
            <v>K0010</v>
          </cell>
          <cell r="B80" t="str">
            <v>Łukasz</v>
          </cell>
          <cell r="C80" t="str">
            <v>KOŚCIÓŁEK</v>
          </cell>
          <cell r="D80" t="str">
            <v>Sokołów Młp.</v>
          </cell>
        </row>
        <row r="81">
          <cell r="A81" t="str">
            <v>K0011</v>
          </cell>
          <cell r="B81" t="str">
            <v>Bartłomiej</v>
          </cell>
          <cell r="C81" t="str">
            <v>KOŚMIDER</v>
          </cell>
          <cell r="D81" t="str">
            <v>Szczucin</v>
          </cell>
        </row>
        <row r="82">
          <cell r="A82" t="str">
            <v>K0012</v>
          </cell>
          <cell r="B82" t="str">
            <v>Piotr</v>
          </cell>
          <cell r="C82" t="str">
            <v>KOTERBA</v>
          </cell>
          <cell r="D82" t="str">
            <v>Rzeszów</v>
          </cell>
        </row>
        <row r="83">
          <cell r="A83" t="str">
            <v>K0013</v>
          </cell>
          <cell r="B83" t="str">
            <v>Paweł</v>
          </cell>
          <cell r="C83" t="str">
            <v>KSIĄŻEK</v>
          </cell>
          <cell r="D83" t="str">
            <v>Straszęcin</v>
          </cell>
        </row>
        <row r="84">
          <cell r="A84" t="str">
            <v>K0014</v>
          </cell>
          <cell r="B84" t="str">
            <v>Zdzisław</v>
          </cell>
          <cell r="C84" t="str">
            <v>KULA </v>
          </cell>
          <cell r="D84" t="str">
            <v>Tarnów</v>
          </cell>
        </row>
        <row r="85">
          <cell r="A85" t="str">
            <v>K0015</v>
          </cell>
          <cell r="B85" t="str">
            <v>Wojciech</v>
          </cell>
          <cell r="C85" t="str">
            <v>KURZYŃSKI</v>
          </cell>
          <cell r="D85" t="str">
            <v>Tarnobrzeg</v>
          </cell>
        </row>
        <row r="86">
          <cell r="A86" t="str">
            <v>K0016</v>
          </cell>
          <cell r="B86" t="str">
            <v>Bernadetta</v>
          </cell>
          <cell r="C86" t="str">
            <v>KUTACHA</v>
          </cell>
          <cell r="D86" t="str">
            <v>Widełka</v>
          </cell>
        </row>
        <row r="87">
          <cell r="A87" t="str">
            <v>K0017</v>
          </cell>
          <cell r="B87" t="str">
            <v>Mateusz</v>
          </cell>
          <cell r="C87" t="str">
            <v>KWIATKOWSKI</v>
          </cell>
          <cell r="D87" t="str">
            <v>Tarnobrzeg</v>
          </cell>
        </row>
        <row r="88">
          <cell r="A88" t="str">
            <v>K0018</v>
          </cell>
          <cell r="B88" t="str">
            <v>Paweł</v>
          </cell>
          <cell r="C88" t="str">
            <v>KOT </v>
          </cell>
          <cell r="D88" t="str">
            <v>Nowa Dęba</v>
          </cell>
        </row>
        <row r="89">
          <cell r="A89" t="str">
            <v>K0019</v>
          </cell>
          <cell r="B89" t="str">
            <v>Krystian</v>
          </cell>
          <cell r="C89" t="str">
            <v>KOŁODZIEJ</v>
          </cell>
          <cell r="D89" t="str">
            <v>Sokołów Młp.</v>
          </cell>
        </row>
        <row r="90">
          <cell r="A90" t="str">
            <v>K0020</v>
          </cell>
          <cell r="B90" t="str">
            <v>Konrad</v>
          </cell>
          <cell r="C90" t="str">
            <v>KONASZEWSKI</v>
          </cell>
          <cell r="D90" t="str">
            <v>Rzeszów</v>
          </cell>
        </row>
        <row r="91">
          <cell r="A91" t="str">
            <v>K0021</v>
          </cell>
          <cell r="B91" t="str">
            <v>Lucjan</v>
          </cell>
          <cell r="C91" t="str">
            <v>KONASZEWSKI</v>
          </cell>
          <cell r="D91" t="str">
            <v>Rzeszów</v>
          </cell>
        </row>
        <row r="92">
          <cell r="A92" t="str">
            <v>K0022</v>
          </cell>
          <cell r="B92" t="str">
            <v>Hubert</v>
          </cell>
          <cell r="C92" t="str">
            <v>KUKOWSKI</v>
          </cell>
          <cell r="D92" t="str">
            <v>Mielec</v>
          </cell>
        </row>
        <row r="93">
          <cell r="A93" t="str">
            <v>K0023</v>
          </cell>
          <cell r="B93" t="str">
            <v>Lucjan</v>
          </cell>
          <cell r="C93" t="str">
            <v>KAWAŁEK</v>
          </cell>
          <cell r="D93" t="str">
            <v>Gorlice</v>
          </cell>
        </row>
        <row r="94">
          <cell r="A94" t="str">
            <v>K0024</v>
          </cell>
          <cell r="B94" t="str">
            <v>Wojciech</v>
          </cell>
          <cell r="C94" t="str">
            <v>KRAUS</v>
          </cell>
          <cell r="D94" t="str">
            <v>Gorlice</v>
          </cell>
        </row>
        <row r="95">
          <cell r="A95" t="str">
            <v>K0025</v>
          </cell>
          <cell r="B95" t="str">
            <v>Marek</v>
          </cell>
          <cell r="C95" t="str">
            <v>KOTOWICZ</v>
          </cell>
          <cell r="D95" t="str">
            <v>Gorlice</v>
          </cell>
        </row>
        <row r="96">
          <cell r="A96" t="str">
            <v>K0026</v>
          </cell>
          <cell r="B96" t="str">
            <v>Kamil</v>
          </cell>
          <cell r="C96" t="str">
            <v>KRUKOWSKI</v>
          </cell>
          <cell r="D96" t="str">
            <v>Nowa Dęba</v>
          </cell>
        </row>
        <row r="97">
          <cell r="A97" t="str">
            <v>K0027</v>
          </cell>
          <cell r="B97" t="str">
            <v>Miłosz</v>
          </cell>
          <cell r="C97" t="str">
            <v>KUKUŁA</v>
          </cell>
          <cell r="D97" t="str">
            <v>Gorlice</v>
          </cell>
        </row>
        <row r="98">
          <cell r="A98" t="str">
            <v>K0028</v>
          </cell>
          <cell r="B98" t="str">
            <v>Katarzyna</v>
          </cell>
          <cell r="C98" t="str">
            <v>KUTACHA</v>
          </cell>
          <cell r="D98" t="str">
            <v>Widełka</v>
          </cell>
        </row>
        <row r="99">
          <cell r="A99" t="str">
            <v>K0029</v>
          </cell>
          <cell r="B99" t="str">
            <v>Patryk</v>
          </cell>
          <cell r="C99" t="str">
            <v>KOPEĆ</v>
          </cell>
          <cell r="D99" t="str">
            <v>Nowa Dęba</v>
          </cell>
        </row>
        <row r="100">
          <cell r="A100" t="str">
            <v>K0030</v>
          </cell>
          <cell r="B100" t="str">
            <v>Paweł</v>
          </cell>
          <cell r="C100" t="str">
            <v>KOPAŃSKI</v>
          </cell>
          <cell r="D100" t="str">
            <v>Widełka</v>
          </cell>
        </row>
        <row r="101">
          <cell r="A101" t="str">
            <v>K0031</v>
          </cell>
          <cell r="B101" t="str">
            <v>Wiktoria</v>
          </cell>
          <cell r="C101" t="str">
            <v>KAPINOS</v>
          </cell>
          <cell r="D101" t="str">
            <v>Mielec</v>
          </cell>
        </row>
        <row r="102">
          <cell r="A102" t="str">
            <v>K0032</v>
          </cell>
          <cell r="B102" t="str">
            <v>Paweł</v>
          </cell>
          <cell r="C102" t="str">
            <v>KACZOR</v>
          </cell>
          <cell r="D102" t="str">
            <v>Nowa Dęba</v>
          </cell>
        </row>
        <row r="103">
          <cell r="A103" t="str">
            <v>K0033</v>
          </cell>
          <cell r="B103" t="str">
            <v>Marek</v>
          </cell>
          <cell r="C103" t="str">
            <v>KAMIŃSKI</v>
          </cell>
          <cell r="D103" t="str">
            <v>Nowa Dęba</v>
          </cell>
        </row>
        <row r="104">
          <cell r="A104" t="str">
            <v>K0034</v>
          </cell>
          <cell r="B104" t="str">
            <v>Marcin</v>
          </cell>
          <cell r="C104" t="str">
            <v>KOWALIK</v>
          </cell>
          <cell r="D104" t="str">
            <v>Rzeszów</v>
          </cell>
        </row>
        <row r="105">
          <cell r="A105" t="str">
            <v>K0035</v>
          </cell>
          <cell r="B105" t="str">
            <v>Maciej</v>
          </cell>
          <cell r="C105" t="str">
            <v>KOZIEŁ</v>
          </cell>
          <cell r="D105" t="str">
            <v>Myślenice</v>
          </cell>
        </row>
        <row r="106">
          <cell r="A106" t="str">
            <v>K0036</v>
          </cell>
          <cell r="B106" t="str">
            <v>Tomasz </v>
          </cell>
          <cell r="C106" t="str">
            <v>KNOPEK</v>
          </cell>
          <cell r="D106" t="str">
            <v>Kraków</v>
          </cell>
        </row>
        <row r="107">
          <cell r="A107" t="str">
            <v>K0037</v>
          </cell>
          <cell r="B107" t="str">
            <v>Mateusz</v>
          </cell>
          <cell r="C107" t="str">
            <v>KRUPA</v>
          </cell>
          <cell r="D107" t="str">
            <v>Mielec</v>
          </cell>
        </row>
        <row r="108">
          <cell r="A108" t="str">
            <v>K0038</v>
          </cell>
          <cell r="B108" t="str">
            <v>Wojciech</v>
          </cell>
          <cell r="C108" t="str">
            <v>KWOLEK</v>
          </cell>
          <cell r="D108" t="str">
            <v>Mielec</v>
          </cell>
        </row>
        <row r="109">
          <cell r="A109" t="str">
            <v>K0039</v>
          </cell>
          <cell r="B109" t="str">
            <v>Łukasz</v>
          </cell>
          <cell r="C109" t="str">
            <v>KOTWICA</v>
          </cell>
          <cell r="D109" t="str">
            <v>Stalowa Wola</v>
          </cell>
        </row>
        <row r="110">
          <cell r="A110" t="str">
            <v>K0040</v>
          </cell>
          <cell r="B110" t="str">
            <v>Władysław</v>
          </cell>
          <cell r="C110" t="str">
            <v>KRUK</v>
          </cell>
          <cell r="D110" t="str">
            <v>Ropczyce</v>
          </cell>
        </row>
        <row r="111">
          <cell r="A111" t="str">
            <v>L0001</v>
          </cell>
          <cell r="B111" t="str">
            <v>Marek</v>
          </cell>
          <cell r="C111" t="str">
            <v>LEŚ</v>
          </cell>
          <cell r="D111" t="str">
            <v>Mielec</v>
          </cell>
        </row>
        <row r="112">
          <cell r="A112" t="str">
            <v>L0002</v>
          </cell>
          <cell r="B112" t="str">
            <v>Tomasz</v>
          </cell>
          <cell r="C112" t="str">
            <v>LEGENY</v>
          </cell>
          <cell r="D112" t="str">
            <v>Jarosław</v>
          </cell>
        </row>
        <row r="113">
          <cell r="A113" t="str">
            <v>L0003</v>
          </cell>
          <cell r="B113" t="str">
            <v>Marcin</v>
          </cell>
          <cell r="C113" t="str">
            <v>LISZKA</v>
          </cell>
          <cell r="D113" t="str">
            <v>Gorlice</v>
          </cell>
        </row>
        <row r="114">
          <cell r="A114" t="str">
            <v>L0004</v>
          </cell>
          <cell r="B114" t="str">
            <v>Rafał</v>
          </cell>
          <cell r="C114" t="str">
            <v>LEJKO</v>
          </cell>
          <cell r="D114" t="str">
            <v>Nowa Dęba</v>
          </cell>
        </row>
        <row r="115">
          <cell r="A115" t="str">
            <v>Ł0001</v>
          </cell>
          <cell r="B115" t="str">
            <v>Łukasz</v>
          </cell>
          <cell r="C115" t="str">
            <v>ŁABUZ</v>
          </cell>
          <cell r="D115" t="str">
            <v>Szczucin</v>
          </cell>
        </row>
        <row r="116">
          <cell r="A116" t="str">
            <v>Ł0002</v>
          </cell>
          <cell r="B116" t="str">
            <v>Wojciech</v>
          </cell>
          <cell r="C116" t="str">
            <v>ŁABUZ</v>
          </cell>
          <cell r="D116" t="str">
            <v>Szczucin</v>
          </cell>
        </row>
        <row r="117">
          <cell r="A117" t="str">
            <v>Ł0003</v>
          </cell>
          <cell r="B117" t="str">
            <v>Piotr</v>
          </cell>
          <cell r="C117" t="str">
            <v>ŁUKASIK</v>
          </cell>
          <cell r="D117" t="str">
            <v>Gorlice</v>
          </cell>
        </row>
        <row r="118">
          <cell r="A118" t="str">
            <v>M0001</v>
          </cell>
          <cell r="B118" t="str">
            <v>Paulina</v>
          </cell>
          <cell r="C118" t="str">
            <v>MACIEJEWSKA</v>
          </cell>
          <cell r="D118" t="str">
            <v>Tarnów</v>
          </cell>
        </row>
        <row r="119">
          <cell r="A119" t="str">
            <v>M0002</v>
          </cell>
          <cell r="B119" t="str">
            <v>Michał</v>
          </cell>
          <cell r="C119" t="str">
            <v>MAGDZIAK</v>
          </cell>
          <cell r="D119" t="str">
            <v>Szczucin</v>
          </cell>
        </row>
        <row r="120">
          <cell r="A120" t="str">
            <v>M0003</v>
          </cell>
          <cell r="B120" t="str">
            <v>Patrycja</v>
          </cell>
          <cell r="C120" t="str">
            <v>MAKOCKA</v>
          </cell>
          <cell r="D120" t="str">
            <v>Mielec</v>
          </cell>
        </row>
        <row r="121">
          <cell r="A121" t="str">
            <v>M0004</v>
          </cell>
          <cell r="B121" t="str">
            <v>Antoni</v>
          </cell>
          <cell r="C121" t="str">
            <v>MALCHAREK</v>
          </cell>
          <cell r="D121" t="str">
            <v>Nowa Dęba</v>
          </cell>
        </row>
        <row r="122">
          <cell r="A122" t="str">
            <v>M0005</v>
          </cell>
          <cell r="B122" t="str">
            <v>Piotr</v>
          </cell>
          <cell r="C122" t="str">
            <v>MALIK</v>
          </cell>
          <cell r="D122" t="str">
            <v>Tarnobrzeg</v>
          </cell>
        </row>
        <row r="123">
          <cell r="A123" t="str">
            <v>M0006</v>
          </cell>
          <cell r="B123" t="str">
            <v>Szymon</v>
          </cell>
          <cell r="C123" t="str">
            <v>MALIK</v>
          </cell>
          <cell r="D123" t="str">
            <v>Tarnobrzeg</v>
          </cell>
        </row>
        <row r="124">
          <cell r="A124" t="str">
            <v>M0007</v>
          </cell>
          <cell r="B124" t="str">
            <v>Maciej</v>
          </cell>
          <cell r="C124" t="str">
            <v>MATUSIK</v>
          </cell>
          <cell r="D124" t="str">
            <v>Ropczyce</v>
          </cell>
        </row>
        <row r="125">
          <cell r="A125" t="str">
            <v>M0008</v>
          </cell>
          <cell r="B125" t="str">
            <v>Tadeusz</v>
          </cell>
          <cell r="C125" t="str">
            <v>MICHALIK</v>
          </cell>
          <cell r="D125" t="str">
            <v>Tarnów</v>
          </cell>
        </row>
        <row r="126">
          <cell r="A126" t="str">
            <v>M0009</v>
          </cell>
          <cell r="B126" t="str">
            <v>Robert</v>
          </cell>
          <cell r="C126" t="str">
            <v>MIKA</v>
          </cell>
          <cell r="D126" t="str">
            <v>Gorlice</v>
          </cell>
        </row>
        <row r="127">
          <cell r="A127" t="str">
            <v>M0010</v>
          </cell>
          <cell r="B127" t="str">
            <v>Jarosław</v>
          </cell>
          <cell r="C127" t="str">
            <v>MIOTŁA</v>
          </cell>
          <cell r="D127" t="str">
            <v>Mielec</v>
          </cell>
        </row>
        <row r="128">
          <cell r="A128" t="str">
            <v>M0011</v>
          </cell>
          <cell r="B128" t="str">
            <v>Karol</v>
          </cell>
          <cell r="C128" t="str">
            <v>MĄCZYŃSKI</v>
          </cell>
          <cell r="D128" t="str">
            <v>Mielec</v>
          </cell>
        </row>
        <row r="129">
          <cell r="A129" t="str">
            <v>M0012</v>
          </cell>
          <cell r="B129" t="str">
            <v>Jarosław</v>
          </cell>
          <cell r="C129" t="str">
            <v>MAZUR</v>
          </cell>
          <cell r="D129" t="str">
            <v>Mielec</v>
          </cell>
        </row>
        <row r="130">
          <cell r="A130" t="str">
            <v>M0013</v>
          </cell>
          <cell r="B130" t="str">
            <v>Mariusz</v>
          </cell>
          <cell r="C130" t="str">
            <v>MASZTAFIAK</v>
          </cell>
          <cell r="D130" t="str">
            <v>Gorlice</v>
          </cell>
        </row>
        <row r="131">
          <cell r="A131" t="str">
            <v>M0014</v>
          </cell>
          <cell r="B131" t="str">
            <v>Dariusz</v>
          </cell>
          <cell r="C131" t="str">
            <v>MAZUR</v>
          </cell>
          <cell r="D131" t="str">
            <v>Mielec</v>
          </cell>
        </row>
        <row r="132">
          <cell r="A132" t="str">
            <v>M0015</v>
          </cell>
          <cell r="B132" t="str">
            <v>Michał</v>
          </cell>
          <cell r="C132" t="str">
            <v>MROZEK</v>
          </cell>
          <cell r="D132" t="str">
            <v>Gorlice</v>
          </cell>
        </row>
        <row r="133">
          <cell r="A133" t="str">
            <v>M0016</v>
          </cell>
          <cell r="B133" t="str">
            <v>Rafał</v>
          </cell>
          <cell r="C133" t="str">
            <v>MARKOWICZ</v>
          </cell>
          <cell r="D133" t="str">
            <v>Gorlice</v>
          </cell>
        </row>
        <row r="134">
          <cell r="A134" t="str">
            <v>M0017</v>
          </cell>
          <cell r="B134" t="str">
            <v>Małgorzata</v>
          </cell>
          <cell r="C134" t="str">
            <v>MROZEK</v>
          </cell>
          <cell r="D134" t="str">
            <v>Gorlice</v>
          </cell>
        </row>
        <row r="135">
          <cell r="A135" t="str">
            <v>M0018</v>
          </cell>
          <cell r="B135" t="str">
            <v>Karolina</v>
          </cell>
          <cell r="C135" t="str">
            <v>MORDAWSKA</v>
          </cell>
          <cell r="D135" t="str">
            <v>Gorlice</v>
          </cell>
        </row>
        <row r="136">
          <cell r="A136" t="str">
            <v>M0019</v>
          </cell>
          <cell r="B136" t="str">
            <v>Grzegorz</v>
          </cell>
          <cell r="C136" t="str">
            <v>MAC </v>
          </cell>
          <cell r="D136" t="str">
            <v>Rzeszów</v>
          </cell>
        </row>
        <row r="137">
          <cell r="A137" t="str">
            <v>M0020</v>
          </cell>
          <cell r="B137" t="str">
            <v>Tomasz</v>
          </cell>
          <cell r="C137" t="str">
            <v>MALCHAREK</v>
          </cell>
          <cell r="D137" t="str">
            <v>New Jersey</v>
          </cell>
        </row>
        <row r="138">
          <cell r="A138" t="str">
            <v>M0021</v>
          </cell>
          <cell r="B138" t="str">
            <v>Jerzy</v>
          </cell>
          <cell r="C138" t="str">
            <v>MISIAK</v>
          </cell>
          <cell r="D138" t="str">
            <v>Połaniec</v>
          </cell>
        </row>
        <row r="139">
          <cell r="A139" t="str">
            <v>M0022</v>
          </cell>
          <cell r="B139" t="str">
            <v>Paweł </v>
          </cell>
          <cell r="C139" t="str">
            <v>MOŹDZIERZ</v>
          </cell>
          <cell r="D139" t="str">
            <v>Gorlice</v>
          </cell>
        </row>
        <row r="140">
          <cell r="A140" t="str">
            <v>M0023</v>
          </cell>
          <cell r="B140" t="str">
            <v>Tymoteusz</v>
          </cell>
          <cell r="C140" t="str">
            <v>MALIK</v>
          </cell>
          <cell r="D140" t="str">
            <v>Tarnobrzeg</v>
          </cell>
        </row>
        <row r="141">
          <cell r="A141" t="str">
            <v>M0024</v>
          </cell>
          <cell r="B141" t="str">
            <v>Tomasz</v>
          </cell>
          <cell r="C141" t="str">
            <v>MATOGA</v>
          </cell>
          <cell r="D141" t="str">
            <v>Myślenice</v>
          </cell>
        </row>
        <row r="142">
          <cell r="A142" t="str">
            <v>M0025</v>
          </cell>
          <cell r="B142" t="str">
            <v>Bogdan</v>
          </cell>
          <cell r="C142" t="str">
            <v>MATOGA</v>
          </cell>
          <cell r="D142" t="str">
            <v>Myślenice</v>
          </cell>
        </row>
        <row r="143">
          <cell r="A143" t="str">
            <v>M0026</v>
          </cell>
          <cell r="B143" t="str">
            <v>Wojciech</v>
          </cell>
          <cell r="C143" t="str">
            <v>MACHAJ</v>
          </cell>
          <cell r="D143" t="str">
            <v>Mielec</v>
          </cell>
        </row>
        <row r="144">
          <cell r="A144" t="str">
            <v>M0027</v>
          </cell>
          <cell r="B144" t="str">
            <v>Beata</v>
          </cell>
          <cell r="C144" t="str">
            <v>MYCEK</v>
          </cell>
          <cell r="D144" t="str">
            <v>Nowa Dęba</v>
          </cell>
        </row>
        <row r="145">
          <cell r="A145" t="str">
            <v>M0028</v>
          </cell>
          <cell r="B145" t="str">
            <v>Kazimierz</v>
          </cell>
          <cell r="C145" t="str">
            <v>MOSKAL</v>
          </cell>
          <cell r="D145" t="str">
            <v>Ropczyce</v>
          </cell>
        </row>
        <row r="146">
          <cell r="A146" t="str">
            <v>N0001</v>
          </cell>
          <cell r="B146" t="str">
            <v>Andrzej</v>
          </cell>
          <cell r="C146" t="str">
            <v>NOSEK</v>
          </cell>
          <cell r="D146" t="str">
            <v>Tarnów</v>
          </cell>
        </row>
        <row r="147">
          <cell r="A147" t="str">
            <v>N0002</v>
          </cell>
          <cell r="B147" t="str">
            <v>Robert</v>
          </cell>
          <cell r="C147" t="str">
            <v>NOWAK</v>
          </cell>
          <cell r="D147" t="str">
            <v>Mielec</v>
          </cell>
        </row>
        <row r="148">
          <cell r="A148" t="str">
            <v>N0003</v>
          </cell>
          <cell r="B148" t="str">
            <v>Mateusz</v>
          </cell>
          <cell r="C148" t="str">
            <v>NOWAK</v>
          </cell>
          <cell r="D148" t="str">
            <v>Mielec</v>
          </cell>
        </row>
        <row r="149">
          <cell r="A149" t="str">
            <v>N0004</v>
          </cell>
          <cell r="B149" t="str">
            <v>Jakub</v>
          </cell>
          <cell r="C149" t="str">
            <v>NIZIOŁEK</v>
          </cell>
          <cell r="D149" t="str">
            <v>Mielec</v>
          </cell>
        </row>
        <row r="150">
          <cell r="A150" t="str">
            <v>N0005</v>
          </cell>
          <cell r="B150" t="str">
            <v>Izabela</v>
          </cell>
          <cell r="C150" t="str">
            <v>NOWAK</v>
          </cell>
          <cell r="D150" t="str">
            <v>Mielec</v>
          </cell>
        </row>
        <row r="151">
          <cell r="A151" t="str">
            <v>O0001</v>
          </cell>
          <cell r="B151" t="str">
            <v>Krzysztof</v>
          </cell>
          <cell r="C151" t="str">
            <v>OSTROWSKI</v>
          </cell>
          <cell r="D151" t="str">
            <v>Mielec</v>
          </cell>
        </row>
        <row r="152">
          <cell r="A152" t="str">
            <v>O0002</v>
          </cell>
          <cell r="B152" t="str">
            <v>Justyna</v>
          </cell>
          <cell r="C152" t="str">
            <v>OZGA</v>
          </cell>
          <cell r="D152" t="str">
            <v>Mielec</v>
          </cell>
        </row>
        <row r="153">
          <cell r="A153" t="str">
            <v>O0003</v>
          </cell>
          <cell r="B153" t="str">
            <v>Aleksandra</v>
          </cell>
          <cell r="C153" t="str">
            <v>OŻÓG</v>
          </cell>
          <cell r="D153" t="str">
            <v>Sokołów Młp.</v>
          </cell>
        </row>
        <row r="154">
          <cell r="A154" t="str">
            <v>O0004</v>
          </cell>
          <cell r="B154" t="str">
            <v>Krzysztof</v>
          </cell>
          <cell r="C154" t="str">
            <v>ORZECHOWICZ</v>
          </cell>
          <cell r="D154" t="str">
            <v>Tarnowiec</v>
          </cell>
        </row>
        <row r="155">
          <cell r="A155" t="str">
            <v>O0005</v>
          </cell>
          <cell r="B155" t="str">
            <v>Michał</v>
          </cell>
          <cell r="C155" t="str">
            <v>ORZECHOWICZ</v>
          </cell>
          <cell r="D155" t="str">
            <v>Tarnowiec</v>
          </cell>
        </row>
        <row r="156">
          <cell r="A156" t="str">
            <v>O0006</v>
          </cell>
          <cell r="B156" t="str">
            <v>Jessica</v>
          </cell>
          <cell r="C156" t="str">
            <v>ORZECHOWICZ</v>
          </cell>
          <cell r="D156" t="str">
            <v>Tarnowiec</v>
          </cell>
        </row>
        <row r="157">
          <cell r="A157" t="str">
            <v>P0001</v>
          </cell>
          <cell r="B157" t="str">
            <v>Dagmara</v>
          </cell>
          <cell r="C157" t="str">
            <v>PEŁKA</v>
          </cell>
          <cell r="D157" t="str">
            <v>Nowa Dęba</v>
          </cell>
        </row>
        <row r="158">
          <cell r="A158" t="str">
            <v>P0002</v>
          </cell>
          <cell r="B158" t="str">
            <v>Dariusz</v>
          </cell>
          <cell r="C158" t="str">
            <v>PIEKARZ</v>
          </cell>
          <cell r="D158" t="str">
            <v>Gorlice</v>
          </cell>
        </row>
        <row r="159">
          <cell r="A159" t="str">
            <v>P0003</v>
          </cell>
          <cell r="B159" t="str">
            <v>Łukasz</v>
          </cell>
          <cell r="C159" t="str">
            <v>PIENIĄŻEK</v>
          </cell>
          <cell r="D159" t="str">
            <v>Rzeszów</v>
          </cell>
        </row>
        <row r="160">
          <cell r="A160" t="str">
            <v>P0004</v>
          </cell>
          <cell r="B160" t="str">
            <v>Paweł</v>
          </cell>
          <cell r="C160" t="str">
            <v>POCIASK</v>
          </cell>
          <cell r="D160" t="str">
            <v>Ropczyce</v>
          </cell>
        </row>
        <row r="161">
          <cell r="A161" t="str">
            <v>P0005</v>
          </cell>
          <cell r="B161" t="str">
            <v>Michał</v>
          </cell>
          <cell r="C161" t="str">
            <v>POCZĄTEK</v>
          </cell>
          <cell r="D161" t="str">
            <v>Szczucin</v>
          </cell>
        </row>
        <row r="162">
          <cell r="A162" t="str">
            <v>P0006</v>
          </cell>
          <cell r="B162" t="str">
            <v>Daniel</v>
          </cell>
          <cell r="C162" t="str">
            <v>PODLASIŃSKI</v>
          </cell>
          <cell r="D162" t="str">
            <v>Szczucin</v>
          </cell>
        </row>
        <row r="163">
          <cell r="A163" t="str">
            <v>P0007</v>
          </cell>
          <cell r="B163" t="str">
            <v>Piotr</v>
          </cell>
          <cell r="C163" t="str">
            <v>POŁOWNIAK</v>
          </cell>
          <cell r="D163" t="str">
            <v>Tarnobrzeg</v>
          </cell>
        </row>
        <row r="164">
          <cell r="A164" t="str">
            <v>P0008</v>
          </cell>
          <cell r="B164" t="str">
            <v>Dawid</v>
          </cell>
          <cell r="C164" t="str">
            <v>PTAK</v>
          </cell>
          <cell r="D164" t="str">
            <v>Tarnów</v>
          </cell>
        </row>
        <row r="165">
          <cell r="A165" t="str">
            <v>P0009</v>
          </cell>
          <cell r="B165" t="str">
            <v>Michał</v>
          </cell>
          <cell r="C165" t="str">
            <v>PRZYBYŁO</v>
          </cell>
          <cell r="D165" t="str">
            <v>Gorlice</v>
          </cell>
        </row>
        <row r="166">
          <cell r="A166" t="str">
            <v>P0010</v>
          </cell>
          <cell r="B166" t="str">
            <v>Dawid</v>
          </cell>
          <cell r="C166" t="str">
            <v>PIĄTEK</v>
          </cell>
          <cell r="D166" t="str">
            <v>Mielec</v>
          </cell>
        </row>
        <row r="167">
          <cell r="A167" t="str">
            <v>P0011</v>
          </cell>
          <cell r="B167" t="str">
            <v>Krzysztof</v>
          </cell>
          <cell r="C167" t="str">
            <v>PIECHOTA</v>
          </cell>
          <cell r="D167" t="str">
            <v>Mielec</v>
          </cell>
        </row>
        <row r="168">
          <cell r="A168" t="str">
            <v>P0012</v>
          </cell>
          <cell r="B168" t="str">
            <v>Tomasz</v>
          </cell>
          <cell r="C168" t="str">
            <v>PRZYBYŁO</v>
          </cell>
          <cell r="D168" t="str">
            <v>Gorlice</v>
          </cell>
        </row>
        <row r="169">
          <cell r="A169" t="str">
            <v>P0013</v>
          </cell>
          <cell r="B169" t="str">
            <v>Bartosz</v>
          </cell>
          <cell r="C169" t="str">
            <v>PIEKARZ</v>
          </cell>
          <cell r="D169" t="str">
            <v>Gorlice</v>
          </cell>
        </row>
        <row r="170">
          <cell r="A170" t="str">
            <v>P0014</v>
          </cell>
          <cell r="B170" t="str">
            <v>Jolanta</v>
          </cell>
          <cell r="C170" t="str">
            <v>PADUCH</v>
          </cell>
          <cell r="D170" t="str">
            <v>Nowa Dęba</v>
          </cell>
        </row>
        <row r="171">
          <cell r="A171" t="str">
            <v>P0015</v>
          </cell>
          <cell r="B171" t="str">
            <v>Jacek</v>
          </cell>
          <cell r="C171" t="str">
            <v>PĘKACKI</v>
          </cell>
          <cell r="D171" t="str">
            <v>Żyrardów</v>
          </cell>
        </row>
        <row r="172">
          <cell r="A172" t="str">
            <v>P0016</v>
          </cell>
          <cell r="B172" t="str">
            <v>Maciej</v>
          </cell>
          <cell r="C172" t="str">
            <v>PATRYN</v>
          </cell>
          <cell r="D172" t="str">
            <v>Strzyżów</v>
          </cell>
        </row>
        <row r="173">
          <cell r="A173" t="str">
            <v>P0017</v>
          </cell>
          <cell r="B173" t="str">
            <v>Anna</v>
          </cell>
          <cell r="C173" t="str">
            <v>PIWODA</v>
          </cell>
          <cell r="D173" t="str">
            <v>Jarosław</v>
          </cell>
        </row>
        <row r="174">
          <cell r="A174" t="str">
            <v>P0018</v>
          </cell>
          <cell r="B174" t="str">
            <v>Kamil</v>
          </cell>
          <cell r="C174" t="str">
            <v>PŁOCH</v>
          </cell>
          <cell r="D174" t="str">
            <v>Widełka</v>
          </cell>
        </row>
        <row r="175">
          <cell r="A175" t="str">
            <v>P0019</v>
          </cell>
          <cell r="B175" t="str">
            <v>Patryk</v>
          </cell>
          <cell r="C175" t="str">
            <v>PIETRAS</v>
          </cell>
          <cell r="D175" t="str">
            <v>Mielec</v>
          </cell>
        </row>
        <row r="176">
          <cell r="A176" t="str">
            <v>P0020</v>
          </cell>
          <cell r="B176" t="str">
            <v>Tomasz</v>
          </cell>
          <cell r="C176" t="str">
            <v>PROSZEK</v>
          </cell>
          <cell r="D176" t="str">
            <v>Myślenice</v>
          </cell>
        </row>
        <row r="177">
          <cell r="A177" t="str">
            <v>P0021</v>
          </cell>
          <cell r="B177" t="str">
            <v>Mikołaj</v>
          </cell>
          <cell r="C177" t="str">
            <v>POLAŃSKI</v>
          </cell>
          <cell r="D177" t="str">
            <v>Rzeszów</v>
          </cell>
        </row>
        <row r="178">
          <cell r="A178" t="str">
            <v>P0022</v>
          </cell>
          <cell r="B178" t="str">
            <v>Mateusz</v>
          </cell>
          <cell r="C178" t="str">
            <v>POTOCKI</v>
          </cell>
          <cell r="D178" t="str">
            <v>Krosno</v>
          </cell>
        </row>
        <row r="179">
          <cell r="A179" t="str">
            <v>R0001</v>
          </cell>
          <cell r="B179" t="str">
            <v>Andrzej</v>
          </cell>
          <cell r="C179" t="str">
            <v>RACHWAŁ</v>
          </cell>
          <cell r="D179" t="str">
            <v>Straszęcin</v>
          </cell>
        </row>
        <row r="180">
          <cell r="A180" t="str">
            <v>R0002</v>
          </cell>
          <cell r="B180" t="str">
            <v>Katarzyna</v>
          </cell>
          <cell r="C180" t="str">
            <v>RUMAK</v>
          </cell>
          <cell r="D180" t="str">
            <v>Widełka</v>
          </cell>
        </row>
        <row r="181">
          <cell r="A181" t="str">
            <v>R0003</v>
          </cell>
          <cell r="B181" t="str">
            <v>Dawid</v>
          </cell>
          <cell r="C181" t="str">
            <v>RZĄSA</v>
          </cell>
          <cell r="D181" t="str">
            <v>Nowa Dęba</v>
          </cell>
        </row>
        <row r="182">
          <cell r="A182" t="str">
            <v>R0004</v>
          </cell>
          <cell r="B182" t="str">
            <v>Dariusz</v>
          </cell>
          <cell r="C182" t="str">
            <v>RACHWAŁ</v>
          </cell>
          <cell r="D182" t="str">
            <v>Ropczyce</v>
          </cell>
        </row>
        <row r="183">
          <cell r="A183" t="str">
            <v>R0005</v>
          </cell>
          <cell r="B183" t="str">
            <v>Piotr</v>
          </cell>
          <cell r="C183" t="str">
            <v>REMBISZ</v>
          </cell>
          <cell r="D183" t="str">
            <v>Mielec</v>
          </cell>
        </row>
        <row r="184">
          <cell r="A184" t="str">
            <v>R0006</v>
          </cell>
          <cell r="B184" t="str">
            <v>Kasper</v>
          </cell>
          <cell r="C184" t="str">
            <v>RADOŃ</v>
          </cell>
          <cell r="D184" t="str">
            <v>Mielec</v>
          </cell>
        </row>
        <row r="185">
          <cell r="A185" t="str">
            <v>R0007</v>
          </cell>
          <cell r="B185" t="str">
            <v>Daria</v>
          </cell>
          <cell r="C185" t="str">
            <v>RYBIŃSKA</v>
          </cell>
          <cell r="D185" t="str">
            <v>Mielec</v>
          </cell>
        </row>
        <row r="186">
          <cell r="A186" t="str">
            <v>R0008</v>
          </cell>
          <cell r="B186" t="str">
            <v>Dawid</v>
          </cell>
          <cell r="C186" t="str">
            <v>RZESZUTEK</v>
          </cell>
          <cell r="D186" t="str">
            <v>Mielec</v>
          </cell>
        </row>
        <row r="187">
          <cell r="A187" t="str">
            <v>R0009</v>
          </cell>
          <cell r="B187" t="str">
            <v>Konrad</v>
          </cell>
          <cell r="C187" t="str">
            <v>ROŻNIAŁ</v>
          </cell>
          <cell r="D187" t="str">
            <v>Mielec</v>
          </cell>
        </row>
        <row r="188">
          <cell r="A188" t="str">
            <v>R0010</v>
          </cell>
          <cell r="B188" t="str">
            <v>Marek</v>
          </cell>
          <cell r="C188" t="str">
            <v>REGUŁA</v>
          </cell>
          <cell r="D188" t="str">
            <v>Mielec</v>
          </cell>
        </row>
        <row r="189">
          <cell r="A189" t="str">
            <v>R0011</v>
          </cell>
          <cell r="B189" t="str">
            <v>Urszula</v>
          </cell>
          <cell r="C189" t="str">
            <v>RUMAK</v>
          </cell>
          <cell r="D189" t="str">
            <v>Widełka</v>
          </cell>
        </row>
        <row r="190">
          <cell r="A190" t="str">
            <v>R0012</v>
          </cell>
          <cell r="B190" t="str">
            <v>Marek</v>
          </cell>
          <cell r="C190" t="str">
            <v>RZĄSA</v>
          </cell>
          <cell r="D190" t="str">
            <v>Nowa Dęba</v>
          </cell>
        </row>
        <row r="191">
          <cell r="A191" t="str">
            <v>R0013</v>
          </cell>
          <cell r="B191" t="str">
            <v>Natalia</v>
          </cell>
          <cell r="C191" t="str">
            <v>RÓG</v>
          </cell>
          <cell r="D191" t="str">
            <v>Nowa Dęba</v>
          </cell>
        </row>
        <row r="192">
          <cell r="A192" t="str">
            <v>R0014</v>
          </cell>
          <cell r="B192" t="str">
            <v>Agata</v>
          </cell>
          <cell r="C192" t="str">
            <v>RZESZUTKO-POLAK</v>
          </cell>
          <cell r="D192" t="str">
            <v>Rzeszów</v>
          </cell>
        </row>
        <row r="193">
          <cell r="A193" t="str">
            <v>R0015</v>
          </cell>
          <cell r="B193" t="str">
            <v>Oskar</v>
          </cell>
          <cell r="C193" t="str">
            <v>RADZAJ</v>
          </cell>
          <cell r="D193" t="str">
            <v>Mielec</v>
          </cell>
        </row>
        <row r="194">
          <cell r="A194" t="str">
            <v>R0016</v>
          </cell>
          <cell r="B194" t="str">
            <v>Oliwia</v>
          </cell>
          <cell r="C194" t="str">
            <v>RYBIŃSKA</v>
          </cell>
          <cell r="D194" t="str">
            <v>Mielec</v>
          </cell>
        </row>
        <row r="195">
          <cell r="A195" t="str">
            <v>S0001</v>
          </cell>
          <cell r="B195" t="str">
            <v>Justyna</v>
          </cell>
          <cell r="C195" t="str">
            <v>SABAT</v>
          </cell>
          <cell r="D195" t="str">
            <v>Sokołów Młp.</v>
          </cell>
        </row>
        <row r="196">
          <cell r="A196" t="str">
            <v>S0002</v>
          </cell>
          <cell r="B196" t="str">
            <v>Dominik</v>
          </cell>
          <cell r="C196" t="str">
            <v>SADO</v>
          </cell>
          <cell r="D196" t="str">
            <v>Ropczyce</v>
          </cell>
        </row>
        <row r="197">
          <cell r="A197" t="str">
            <v>S0003</v>
          </cell>
          <cell r="B197" t="str">
            <v>Sebastian</v>
          </cell>
          <cell r="C197" t="str">
            <v>SADO</v>
          </cell>
          <cell r="D197" t="str">
            <v>Ropczyce</v>
          </cell>
        </row>
        <row r="198">
          <cell r="A198" t="str">
            <v>S0004</v>
          </cell>
          <cell r="B198" t="str">
            <v>Łukasz</v>
          </cell>
          <cell r="C198" t="str">
            <v>SAŁEK</v>
          </cell>
          <cell r="D198" t="str">
            <v>Tarnobrzeg</v>
          </cell>
        </row>
        <row r="199">
          <cell r="A199" t="str">
            <v>S0005</v>
          </cell>
          <cell r="B199" t="str">
            <v>Adam</v>
          </cell>
          <cell r="C199" t="str">
            <v>SIDOR</v>
          </cell>
          <cell r="D199" t="str">
            <v>Sokołów Młp.</v>
          </cell>
        </row>
        <row r="200">
          <cell r="A200" t="str">
            <v>S0006</v>
          </cell>
          <cell r="B200" t="str">
            <v>Katarzyna</v>
          </cell>
          <cell r="C200" t="str">
            <v>SIERADZKA</v>
          </cell>
          <cell r="D200" t="str">
            <v>Rzeszów</v>
          </cell>
        </row>
        <row r="201">
          <cell r="A201" t="str">
            <v>S0007</v>
          </cell>
          <cell r="B201" t="str">
            <v>Wojciech</v>
          </cell>
          <cell r="C201" t="str">
            <v>SITKO</v>
          </cell>
          <cell r="D201" t="str">
            <v>Szczucin</v>
          </cell>
        </row>
        <row r="202">
          <cell r="A202" t="str">
            <v>S0008</v>
          </cell>
          <cell r="B202" t="str">
            <v>Agnieszka</v>
          </cell>
          <cell r="C202" t="str">
            <v>SKOWROŃSKA</v>
          </cell>
          <cell r="D202" t="str">
            <v>Nowa Dęba</v>
          </cell>
        </row>
        <row r="203">
          <cell r="A203" t="str">
            <v>S0009</v>
          </cell>
          <cell r="B203" t="str">
            <v>Piotr</v>
          </cell>
          <cell r="C203" t="str">
            <v>SKRZEK</v>
          </cell>
          <cell r="D203" t="str">
            <v>Straszęcin</v>
          </cell>
        </row>
        <row r="204">
          <cell r="A204" t="str">
            <v>S0010</v>
          </cell>
          <cell r="B204" t="str">
            <v>Rafał</v>
          </cell>
          <cell r="C204" t="str">
            <v>SKRZEK</v>
          </cell>
          <cell r="D204" t="str">
            <v>Straszęcin</v>
          </cell>
        </row>
        <row r="205">
          <cell r="A205" t="str">
            <v>S0011</v>
          </cell>
          <cell r="B205" t="str">
            <v>Szymon</v>
          </cell>
          <cell r="C205" t="str">
            <v>SOBOŃ</v>
          </cell>
          <cell r="D205" t="str">
            <v>Sokołów Młp.</v>
          </cell>
        </row>
        <row r="206">
          <cell r="A206" t="str">
            <v>S0012</v>
          </cell>
          <cell r="B206" t="str">
            <v>Mateusz</v>
          </cell>
          <cell r="C206" t="str">
            <v>SOŁTYS</v>
          </cell>
          <cell r="D206" t="str">
            <v>Szczucin</v>
          </cell>
        </row>
        <row r="207">
          <cell r="A207" t="str">
            <v>S0013</v>
          </cell>
          <cell r="B207" t="str">
            <v>Jacek</v>
          </cell>
          <cell r="C207" t="str">
            <v>STAWARZ</v>
          </cell>
          <cell r="D207" t="str">
            <v>Uppsala</v>
          </cell>
        </row>
        <row r="208">
          <cell r="A208" t="str">
            <v>S0014</v>
          </cell>
          <cell r="B208" t="str">
            <v>Łukasz</v>
          </cell>
          <cell r="C208" t="str">
            <v>STOCHLIŃSKI</v>
          </cell>
          <cell r="D208" t="str">
            <v>Szczucin</v>
          </cell>
        </row>
        <row r="209">
          <cell r="A209" t="str">
            <v>S0015</v>
          </cell>
          <cell r="B209" t="str">
            <v>Alicja</v>
          </cell>
          <cell r="C209" t="str">
            <v>STYSŁAWSKA</v>
          </cell>
          <cell r="D209" t="str">
            <v>Szczucin</v>
          </cell>
        </row>
        <row r="210">
          <cell r="A210" t="str">
            <v>S0016</v>
          </cell>
          <cell r="B210" t="str">
            <v>Piotr</v>
          </cell>
          <cell r="C210" t="str">
            <v>SUROWIEC</v>
          </cell>
          <cell r="D210" t="str">
            <v>Widełka</v>
          </cell>
        </row>
        <row r="211">
          <cell r="A211" t="str">
            <v>S0017</v>
          </cell>
          <cell r="B211" t="str">
            <v>Kacper</v>
          </cell>
          <cell r="C211" t="str">
            <v>SZYMCZYK</v>
          </cell>
          <cell r="D211" t="str">
            <v>Mielec</v>
          </cell>
        </row>
        <row r="212">
          <cell r="A212" t="str">
            <v>S0018</v>
          </cell>
          <cell r="B212" t="str">
            <v>Wojciech</v>
          </cell>
          <cell r="C212" t="str">
            <v>SMAGAŁA</v>
          </cell>
          <cell r="D212" t="str">
            <v>Ropczyce</v>
          </cell>
        </row>
        <row r="213">
          <cell r="A213" t="str">
            <v>S0019</v>
          </cell>
          <cell r="B213" t="str">
            <v>Katarzyna </v>
          </cell>
          <cell r="C213" t="str">
            <v>SŁOMBA</v>
          </cell>
          <cell r="D213" t="str">
            <v>Mielec</v>
          </cell>
        </row>
        <row r="214">
          <cell r="A214" t="str">
            <v>S0020</v>
          </cell>
          <cell r="B214" t="str">
            <v>Mariusz</v>
          </cell>
          <cell r="C214" t="str">
            <v>SŁOMBA</v>
          </cell>
          <cell r="D214" t="str">
            <v>Mielec</v>
          </cell>
        </row>
        <row r="215">
          <cell r="A215" t="str">
            <v>S0021</v>
          </cell>
          <cell r="B215" t="str">
            <v>Karolina</v>
          </cell>
          <cell r="C215" t="str">
            <v>SMOŁKOWICZ</v>
          </cell>
          <cell r="D215" t="str">
            <v>Gorlice</v>
          </cell>
        </row>
        <row r="216">
          <cell r="A216" t="str">
            <v>S0022</v>
          </cell>
          <cell r="B216" t="str">
            <v>Maciej </v>
          </cell>
          <cell r="C216" t="str">
            <v>SZUREK</v>
          </cell>
          <cell r="D216" t="str">
            <v>Gorlice</v>
          </cell>
        </row>
        <row r="217">
          <cell r="A217" t="str">
            <v>S0023</v>
          </cell>
          <cell r="B217" t="str">
            <v>Dariusz</v>
          </cell>
          <cell r="C217" t="str">
            <v>STAŃKO</v>
          </cell>
          <cell r="D217" t="str">
            <v>Przemyśl</v>
          </cell>
        </row>
        <row r="218">
          <cell r="A218" t="str">
            <v>S0024</v>
          </cell>
          <cell r="B218" t="str">
            <v>Grzegorz</v>
          </cell>
          <cell r="C218" t="str">
            <v>STAŃKO</v>
          </cell>
          <cell r="D218" t="str">
            <v>Przemyśl</v>
          </cell>
        </row>
        <row r="219">
          <cell r="A219" t="str">
            <v>S0025</v>
          </cell>
          <cell r="B219" t="str">
            <v>Wojciech</v>
          </cell>
          <cell r="C219" t="str">
            <v>STAŃKO</v>
          </cell>
          <cell r="D219" t="str">
            <v>Przemyśl</v>
          </cell>
        </row>
        <row r="220">
          <cell r="A220" t="str">
            <v>S0026</v>
          </cell>
          <cell r="B220" t="str">
            <v>Mateusz</v>
          </cell>
          <cell r="C220" t="str">
            <v>STANISZ</v>
          </cell>
          <cell r="D220" t="str">
            <v>Ropczyce</v>
          </cell>
        </row>
        <row r="221">
          <cell r="A221" t="str">
            <v>S0027</v>
          </cell>
          <cell r="B221" t="str">
            <v>Wiktor</v>
          </cell>
          <cell r="C221" t="str">
            <v>SALAMON</v>
          </cell>
          <cell r="D221" t="str">
            <v>Tarnobrzeg</v>
          </cell>
        </row>
        <row r="222">
          <cell r="A222" t="str">
            <v>S0028</v>
          </cell>
          <cell r="B222" t="str">
            <v>Tobiasz</v>
          </cell>
          <cell r="C222" t="str">
            <v>SAŁAGAJ</v>
          </cell>
          <cell r="D222" t="str">
            <v>Mielec</v>
          </cell>
        </row>
        <row r="223">
          <cell r="A223" t="str">
            <v>S0029</v>
          </cell>
          <cell r="B223" t="str">
            <v>Patryk</v>
          </cell>
          <cell r="C223" t="str">
            <v>STOLARZ</v>
          </cell>
          <cell r="D223" t="str">
            <v>Mielec</v>
          </cell>
        </row>
        <row r="224">
          <cell r="A224" t="str">
            <v>S0030</v>
          </cell>
          <cell r="B224" t="str">
            <v>Karol</v>
          </cell>
          <cell r="C224" t="str">
            <v>SZYMURA</v>
          </cell>
          <cell r="D224" t="str">
            <v>Szczucin</v>
          </cell>
        </row>
        <row r="225">
          <cell r="A225" t="str">
            <v>S0031</v>
          </cell>
          <cell r="B225" t="str">
            <v>Marcin</v>
          </cell>
          <cell r="C225" t="str">
            <v>STANECKI</v>
          </cell>
          <cell r="D225" t="str">
            <v>Kraków</v>
          </cell>
        </row>
        <row r="226">
          <cell r="A226" t="str">
            <v>S0032</v>
          </cell>
          <cell r="B226" t="str">
            <v>Łukasz</v>
          </cell>
          <cell r="C226" t="str">
            <v>SZANTULA</v>
          </cell>
          <cell r="D226" t="str">
            <v>Mielec</v>
          </cell>
        </row>
        <row r="227">
          <cell r="A227" t="str">
            <v>S0033</v>
          </cell>
          <cell r="B227" t="str">
            <v>Mikołaj</v>
          </cell>
          <cell r="C227" t="str">
            <v>STRAŻ</v>
          </cell>
          <cell r="D227" t="str">
            <v>Mielec</v>
          </cell>
        </row>
        <row r="228">
          <cell r="A228" t="str">
            <v>S0034</v>
          </cell>
          <cell r="B228" t="str">
            <v>Mateusz</v>
          </cell>
          <cell r="C228" t="str">
            <v>SUCH</v>
          </cell>
          <cell r="D228" t="str">
            <v>Krosno</v>
          </cell>
        </row>
        <row r="229">
          <cell r="A229" t="str">
            <v>S0035</v>
          </cell>
          <cell r="B229" t="str">
            <v>Kuba</v>
          </cell>
          <cell r="C229" t="str">
            <v>SITEK</v>
          </cell>
          <cell r="D229" t="str">
            <v>Rzeszów</v>
          </cell>
        </row>
        <row r="230">
          <cell r="A230" t="str">
            <v>S0036</v>
          </cell>
          <cell r="B230" t="str">
            <v>Karolina</v>
          </cell>
          <cell r="C230" t="str">
            <v>STĘPAK</v>
          </cell>
          <cell r="D230" t="str">
            <v>Stalowa Wola</v>
          </cell>
        </row>
        <row r="231">
          <cell r="A231" t="str">
            <v>Ś0001</v>
          </cell>
          <cell r="B231" t="str">
            <v>Jakub</v>
          </cell>
          <cell r="C231" t="str">
            <v>ŚLIWA</v>
          </cell>
          <cell r="D231" t="str">
            <v>Gorlice</v>
          </cell>
        </row>
        <row r="232">
          <cell r="A232" t="str">
            <v>Ś0002</v>
          </cell>
          <cell r="B232" t="str">
            <v>Ernest</v>
          </cell>
          <cell r="C232" t="str">
            <v>ŚCIPIEŃ</v>
          </cell>
          <cell r="D232" t="str">
            <v>Nowa Dęba</v>
          </cell>
        </row>
        <row r="233">
          <cell r="A233" t="str">
            <v>T0001</v>
          </cell>
          <cell r="B233" t="str">
            <v>Agata</v>
          </cell>
          <cell r="C233" t="str">
            <v>TARASZKA</v>
          </cell>
          <cell r="D233" t="str">
            <v>Nowa Dęba</v>
          </cell>
        </row>
        <row r="234">
          <cell r="A234" t="str">
            <v>T0002</v>
          </cell>
          <cell r="B234" t="str">
            <v>Mariusz</v>
          </cell>
          <cell r="C234" t="str">
            <v>TOCHOWICZ</v>
          </cell>
          <cell r="D234" t="str">
            <v>Tarnów</v>
          </cell>
        </row>
        <row r="235">
          <cell r="A235" t="str">
            <v>T0003</v>
          </cell>
          <cell r="B235" t="str">
            <v>Izabela</v>
          </cell>
          <cell r="C235" t="str">
            <v>TOMCZYK</v>
          </cell>
          <cell r="D235" t="str">
            <v>Nowa Dęba</v>
          </cell>
        </row>
        <row r="236">
          <cell r="A236" t="str">
            <v>T0004</v>
          </cell>
          <cell r="B236" t="str">
            <v>Grzegorz</v>
          </cell>
          <cell r="C236" t="str">
            <v>TALAR</v>
          </cell>
          <cell r="D236" t="str">
            <v>Szczucin</v>
          </cell>
        </row>
        <row r="237">
          <cell r="A237" t="str">
            <v>T0005</v>
          </cell>
          <cell r="B237" t="str">
            <v>Artur</v>
          </cell>
          <cell r="C237" t="str">
            <v>TUKENDORF</v>
          </cell>
          <cell r="D237" t="str">
            <v>Kraków</v>
          </cell>
        </row>
        <row r="238">
          <cell r="A238" t="str">
            <v>T0006</v>
          </cell>
          <cell r="B238" t="str">
            <v>Łukasz</v>
          </cell>
          <cell r="C238" t="str">
            <v>TYRKA</v>
          </cell>
          <cell r="D238" t="str">
            <v>Stalowa Wola</v>
          </cell>
        </row>
        <row r="239">
          <cell r="A239" t="str">
            <v>T0007</v>
          </cell>
          <cell r="B239" t="str">
            <v>Tomasz</v>
          </cell>
          <cell r="C239" t="str">
            <v>TETLA</v>
          </cell>
          <cell r="D239" t="str">
            <v>Stalowa Wola</v>
          </cell>
        </row>
        <row r="240">
          <cell r="A240" t="str">
            <v>T0008</v>
          </cell>
          <cell r="B240" t="str">
            <v>Dominika</v>
          </cell>
          <cell r="C240" t="str">
            <v>TYMOFEJEWICZ</v>
          </cell>
          <cell r="D240" t="str">
            <v>Stalowa Wola</v>
          </cell>
        </row>
        <row r="241">
          <cell r="A241" t="str">
            <v>U0001</v>
          </cell>
          <cell r="B241" t="str">
            <v>Przemysław</v>
          </cell>
          <cell r="C241" t="str">
            <v>URBAN</v>
          </cell>
          <cell r="D241" t="str">
            <v>Rzeszów</v>
          </cell>
        </row>
        <row r="242">
          <cell r="A242" t="str">
            <v>U0002</v>
          </cell>
          <cell r="B242" t="str">
            <v>Tomasz</v>
          </cell>
          <cell r="C242" t="str">
            <v>URBANIK</v>
          </cell>
          <cell r="D242" t="str">
            <v>Gorlice</v>
          </cell>
        </row>
        <row r="243">
          <cell r="A243" t="str">
            <v>W0001</v>
          </cell>
          <cell r="B243" t="str">
            <v>Mariusz</v>
          </cell>
          <cell r="C243" t="str">
            <v>WILCZAK</v>
          </cell>
          <cell r="D243" t="str">
            <v>Sokołów Młp.</v>
          </cell>
        </row>
        <row r="244">
          <cell r="A244" t="str">
            <v>W0002</v>
          </cell>
          <cell r="B244" t="str">
            <v>Dariusz</v>
          </cell>
          <cell r="C244" t="str">
            <v>WILK</v>
          </cell>
          <cell r="D244" t="str">
            <v>Kolbuszowa</v>
          </cell>
        </row>
        <row r="245">
          <cell r="A245" t="str">
            <v>W0003</v>
          </cell>
          <cell r="B245" t="str">
            <v>Krystian</v>
          </cell>
          <cell r="C245" t="str">
            <v>WILK</v>
          </cell>
          <cell r="D245" t="str">
            <v>Mielec</v>
          </cell>
        </row>
        <row r="246">
          <cell r="A246" t="str">
            <v>W0004</v>
          </cell>
          <cell r="B246" t="str">
            <v>Michał</v>
          </cell>
          <cell r="C246" t="str">
            <v>WIĄCEK</v>
          </cell>
          <cell r="D246" t="str">
            <v>Mielec</v>
          </cell>
        </row>
        <row r="247">
          <cell r="A247" t="str">
            <v>W0005</v>
          </cell>
          <cell r="B247" t="str">
            <v>Sebastian</v>
          </cell>
          <cell r="C247" t="str">
            <v>WERON</v>
          </cell>
          <cell r="D247" t="str">
            <v>Gorlice</v>
          </cell>
        </row>
        <row r="248">
          <cell r="A248" t="str">
            <v>W0006</v>
          </cell>
          <cell r="B248" t="str">
            <v>Grażyna</v>
          </cell>
          <cell r="C248" t="str">
            <v>WILCZEWSKA</v>
          </cell>
          <cell r="D248" t="str">
            <v>Strzyżów</v>
          </cell>
        </row>
        <row r="249">
          <cell r="A249" t="str">
            <v>W0007</v>
          </cell>
          <cell r="B249" t="str">
            <v>Mariusz</v>
          </cell>
          <cell r="C249" t="str">
            <v>WILCZEWSKI</v>
          </cell>
          <cell r="D249" t="str">
            <v>Strzyżów</v>
          </cell>
        </row>
        <row r="250">
          <cell r="A250" t="str">
            <v>W0008</v>
          </cell>
          <cell r="B250" t="str">
            <v>Henryk</v>
          </cell>
          <cell r="C250" t="str">
            <v>WARZECHA</v>
          </cell>
          <cell r="D250" t="str">
            <v>Kraków</v>
          </cell>
        </row>
        <row r="251">
          <cell r="A251" t="str">
            <v>W0009</v>
          </cell>
          <cell r="B251" t="str">
            <v>Karol</v>
          </cell>
          <cell r="C251" t="str">
            <v>WESOŁOWSKI</v>
          </cell>
          <cell r="D251" t="str">
            <v>Mielec</v>
          </cell>
        </row>
        <row r="252">
          <cell r="A252" t="str">
            <v>W0010</v>
          </cell>
          <cell r="B252" t="str">
            <v>Dariusz</v>
          </cell>
          <cell r="C252" t="str">
            <v>WALAS</v>
          </cell>
          <cell r="D252" t="str">
            <v>Rzeszów</v>
          </cell>
        </row>
        <row r="253">
          <cell r="A253" t="str">
            <v>W0011</v>
          </cell>
          <cell r="B253" t="str">
            <v>Arkadiusz</v>
          </cell>
          <cell r="C253" t="str">
            <v>WÓJCIK</v>
          </cell>
          <cell r="D253" t="str">
            <v>Wieliczka</v>
          </cell>
        </row>
        <row r="254">
          <cell r="A254" t="str">
            <v>W0012</v>
          </cell>
          <cell r="B254" t="str">
            <v>Tomasz</v>
          </cell>
          <cell r="C254" t="str">
            <v>WYDRO</v>
          </cell>
          <cell r="D254" t="str">
            <v>Mielec</v>
          </cell>
        </row>
        <row r="255">
          <cell r="A255" t="str">
            <v>W0013</v>
          </cell>
          <cell r="B255" t="str">
            <v>Olaf</v>
          </cell>
          <cell r="C255" t="str">
            <v>WARNECKI</v>
          </cell>
          <cell r="D255" t="str">
            <v>Rzeszów</v>
          </cell>
        </row>
        <row r="256">
          <cell r="A256" t="str">
            <v>W0014</v>
          </cell>
          <cell r="B256" t="str">
            <v>Mariusz </v>
          </cell>
          <cell r="C256" t="str">
            <v>WARNECKI</v>
          </cell>
          <cell r="D256" t="str">
            <v>Rzeszów</v>
          </cell>
        </row>
        <row r="257">
          <cell r="A257" t="str">
            <v>Z0001</v>
          </cell>
          <cell r="B257" t="str">
            <v>Jacek</v>
          </cell>
          <cell r="C257" t="str">
            <v>ZABAWA</v>
          </cell>
          <cell r="D257" t="str">
            <v>Tarnów</v>
          </cell>
        </row>
        <row r="258">
          <cell r="A258" t="str">
            <v>Z0002</v>
          </cell>
          <cell r="B258" t="str">
            <v>Konrad</v>
          </cell>
          <cell r="C258" t="str">
            <v>ZAUCHA</v>
          </cell>
          <cell r="D258" t="str">
            <v>Straszęcin</v>
          </cell>
        </row>
        <row r="259">
          <cell r="A259" t="str">
            <v>Z0003</v>
          </cell>
          <cell r="B259" t="str">
            <v>Paweł</v>
          </cell>
          <cell r="C259" t="str">
            <v>ZAUCHA</v>
          </cell>
          <cell r="D259" t="str">
            <v>Straszęcin</v>
          </cell>
        </row>
        <row r="260">
          <cell r="A260" t="str">
            <v>Z0004</v>
          </cell>
          <cell r="B260" t="str">
            <v>Aleksandra</v>
          </cell>
          <cell r="C260" t="str">
            <v>ZUBER</v>
          </cell>
          <cell r="D260" t="str">
            <v>Widełka</v>
          </cell>
        </row>
        <row r="261">
          <cell r="A261" t="str">
            <v>Z0005</v>
          </cell>
          <cell r="B261" t="str">
            <v>Łukasz</v>
          </cell>
          <cell r="C261" t="str">
            <v>ZYGORA</v>
          </cell>
          <cell r="D261" t="str">
            <v>Widełka</v>
          </cell>
        </row>
        <row r="262">
          <cell r="A262" t="str">
            <v>Ż0001</v>
          </cell>
          <cell r="B262" t="str">
            <v>Monika</v>
          </cell>
          <cell r="C262" t="str">
            <v>ŻARÓW</v>
          </cell>
          <cell r="D262" t="str">
            <v>Nowa Dęba</v>
          </cell>
        </row>
        <row r="263">
          <cell r="A263" t="str">
            <v>Ż0002</v>
          </cell>
          <cell r="B263" t="str">
            <v>Mateusz</v>
          </cell>
          <cell r="C263" t="str">
            <v>ŻĄDŁO</v>
          </cell>
          <cell r="D263" t="str">
            <v>Kolbuszowa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55"/>
  <sheetViews>
    <sheetView tabSelected="1" view="pageBreakPreview" zoomScale="60" zoomScalePageLayoutView="0" workbookViewId="0" topLeftCell="P145">
      <selection activeCell="AD235" sqref="AD235"/>
    </sheetView>
  </sheetViews>
  <sheetFormatPr defaultColWidth="9.28125" defaultRowHeight="15"/>
  <cols>
    <col min="1" max="1" width="2.28125" style="1" hidden="1" customWidth="1"/>
    <col min="2" max="2" width="6.7109375" style="2" hidden="1" customWidth="1"/>
    <col min="3" max="3" width="9.28125" style="2" hidden="1" customWidth="1"/>
    <col min="4" max="4" width="7.28125" style="2" hidden="1" customWidth="1"/>
    <col min="5" max="5" width="9.28125" style="2" hidden="1" customWidth="1"/>
    <col min="6" max="6" width="6.7109375" style="2" hidden="1" customWidth="1"/>
    <col min="7" max="7" width="9.28125" style="2" hidden="1" customWidth="1"/>
    <col min="8" max="8" width="15.28125" style="2" hidden="1" customWidth="1"/>
    <col min="9" max="9" width="19.7109375" style="2" hidden="1" customWidth="1"/>
    <col min="10" max="11" width="6.7109375" style="7" hidden="1" customWidth="1"/>
    <col min="12" max="12" width="10.7109375" style="7" hidden="1" customWidth="1"/>
    <col min="13" max="13" width="26.140625" style="2" hidden="1" customWidth="1"/>
    <col min="14" max="14" width="11.7109375" style="11" hidden="1" customWidth="1"/>
    <col min="15" max="15" width="3.140625" style="7" hidden="1" customWidth="1"/>
    <col min="16" max="16" width="3.140625" style="7" customWidth="1"/>
    <col min="17" max="17" width="12.140625" style="49" customWidth="1"/>
    <col min="18" max="19" width="4.140625" style="49" customWidth="1"/>
    <col min="20" max="20" width="3.421875" style="49" bestFit="1" customWidth="1"/>
    <col min="21" max="21" width="55.7109375" style="49" customWidth="1"/>
    <col min="22" max="22" width="3.7109375" style="49" customWidth="1"/>
    <col min="23" max="25" width="6.7109375" style="49" customWidth="1"/>
    <col min="26" max="27" width="8.7109375" style="49" bestFit="1" customWidth="1"/>
    <col min="28" max="28" width="8.7109375" style="49" customWidth="1"/>
    <col min="29" max="29" width="7.7109375" style="49" bestFit="1" customWidth="1"/>
    <col min="30" max="30" width="7.7109375" style="49" customWidth="1"/>
    <col min="31" max="31" width="7.7109375" style="11" customWidth="1"/>
    <col min="32" max="32" width="7.7109375" style="11" hidden="1" customWidth="1"/>
    <col min="33" max="33" width="4.140625" style="11" hidden="1" customWidth="1"/>
    <col min="34" max="45" width="2.140625" style="11" hidden="1" customWidth="1"/>
    <col min="46" max="47" width="2.28125" style="11" hidden="1" customWidth="1"/>
    <col min="48" max="53" width="2.140625" style="11" hidden="1" customWidth="1"/>
    <col min="54" max="55" width="3.7109375" style="11" hidden="1" customWidth="1"/>
    <col min="56" max="61" width="2.140625" style="11" hidden="1" customWidth="1"/>
    <col min="62" max="62" width="8.140625" style="11" hidden="1" customWidth="1"/>
    <col min="63" max="63" width="11.28125" style="12" hidden="1" customWidth="1"/>
    <col min="64" max="64" width="0" style="2" hidden="1" customWidth="1"/>
    <col min="65" max="65" width="15.28125" style="2" hidden="1" customWidth="1"/>
    <col min="66" max="67" width="0" style="2" hidden="1" customWidth="1"/>
    <col min="68" max="16384" width="9.28125" style="2" customWidth="1"/>
  </cols>
  <sheetData>
    <row r="1" spans="10:63" ht="12" customHeight="1">
      <c r="J1" s="3"/>
      <c r="K1" s="3"/>
      <c r="L1" s="3"/>
      <c r="N1" s="4"/>
      <c r="O1" s="3"/>
      <c r="P1" s="3"/>
      <c r="Q1" s="264" t="str">
        <f>IF(ISBLANK('[1]dane'!$D$2),"",'[1]dane'!$D$2)</f>
        <v>71 Grand Prix Victora</v>
      </c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6"/>
    </row>
    <row r="2" spans="10:63" ht="12" customHeight="1">
      <c r="J2" s="3"/>
      <c r="K2" s="3"/>
      <c r="L2" s="3"/>
      <c r="N2" s="4"/>
      <c r="O2" s="3"/>
      <c r="P2" s="3"/>
      <c r="Q2" s="264" t="str">
        <f>IF(ISBLANK('[1]dane'!$D$3),"",'[1]dane'!$D$3)</f>
        <v>Mielec,  17-03-2013 r.</v>
      </c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6"/>
    </row>
    <row r="3" spans="10:63" ht="12" customHeight="1">
      <c r="J3" s="3"/>
      <c r="K3" s="3"/>
      <c r="L3" s="3"/>
      <c r="N3" s="4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6"/>
    </row>
    <row r="4" spans="13:31" ht="11.25" customHeight="1">
      <c r="M4" s="8"/>
      <c r="N4" s="9" t="s">
        <v>0</v>
      </c>
      <c r="Q4" s="245" t="str">
        <f>"Gra "&amp;N4</f>
        <v>Gra Beginners</v>
      </c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</row>
    <row r="5" spans="10:63" ht="12" customHeight="1" thickBot="1">
      <c r="J5" s="3"/>
      <c r="K5" s="3"/>
      <c r="L5" s="3"/>
      <c r="N5" s="4"/>
      <c r="O5" s="3"/>
      <c r="P5" s="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6"/>
    </row>
    <row r="6" spans="14:45" ht="11.25" customHeight="1" thickBot="1">
      <c r="N6" s="13"/>
      <c r="O6" s="14">
        <v>1</v>
      </c>
      <c r="Q6" s="245" t="str">
        <f>"Grupa "&amp;O6&amp;"."</f>
        <v>Grupa 1.</v>
      </c>
      <c r="R6" s="245"/>
      <c r="S6" s="245"/>
      <c r="T6" s="15" t="s">
        <v>1</v>
      </c>
      <c r="U6" s="246" t="s">
        <v>2</v>
      </c>
      <c r="V6" s="246"/>
      <c r="W6" s="15">
        <v>1</v>
      </c>
      <c r="X6" s="17">
        <v>2</v>
      </c>
      <c r="Y6" s="18">
        <v>3</v>
      </c>
      <c r="Z6" s="19">
        <v>4</v>
      </c>
      <c r="AA6" s="20" t="s">
        <v>3</v>
      </c>
      <c r="AB6" s="21" t="s">
        <v>4</v>
      </c>
      <c r="AC6" s="22" t="s">
        <v>5</v>
      </c>
      <c r="AD6" s="23" t="s">
        <v>6</v>
      </c>
      <c r="AE6" s="24"/>
      <c r="AF6" s="24"/>
      <c r="AH6" s="244" t="s">
        <v>7</v>
      </c>
      <c r="AI6" s="244"/>
      <c r="AJ6" s="244"/>
      <c r="AK6" s="244"/>
      <c r="AL6" s="244"/>
      <c r="AM6" s="244"/>
      <c r="AN6" s="244" t="s">
        <v>8</v>
      </c>
      <c r="AO6" s="244"/>
      <c r="AP6" s="244"/>
      <c r="AQ6" s="244"/>
      <c r="AR6" s="244"/>
      <c r="AS6" s="244"/>
    </row>
    <row r="7" spans="14:32" ht="11.25" customHeight="1" thickBot="1">
      <c r="N7" s="25" t="s">
        <v>0</v>
      </c>
      <c r="Q7" s="247" t="s">
        <v>9</v>
      </c>
      <c r="R7" s="247"/>
      <c r="S7" s="248" t="s">
        <v>10</v>
      </c>
      <c r="T7" s="249">
        <v>1</v>
      </c>
      <c r="U7" s="250">
        <f>IF(AND(N8&lt;&gt;"",N9&lt;&gt;""),CONCATENATE(VLOOKUP(N8,'[1]zawodnicy'!$A:$E,1,FALSE)," ",VLOOKUP(N8,'[1]zawodnicy'!$A:$E,2,FALSE)," ",VLOOKUP(N8,'[1]zawodnicy'!$A:$E,3,FALSE)," - ",VLOOKUP(N8,'[1]zawodnicy'!$A:$E,4,FALSE)),"")</f>
      </c>
      <c r="V7" s="250"/>
      <c r="W7" s="26"/>
      <c r="X7" s="27" t="str">
        <f>IF(SUM(AN15:AO15)=0,"",AN15&amp;":"&amp;AO15)</f>
        <v>21:6</v>
      </c>
      <c r="Y7" s="27" t="str">
        <f>IF(SUM(AN10:AO10)=0,"",AN10&amp;":"&amp;AO10)</f>
        <v>21:6</v>
      </c>
      <c r="Z7" s="28" t="str">
        <f>IF(SUM(AN12:AO12)=0,"",AN12&amp;":"&amp;AO12)</f>
        <v>21:12</v>
      </c>
      <c r="AA7" s="249" t="str">
        <f>IF(SUM(AX10:BC10)=0,"",BD10&amp;":"&amp;BE10)</f>
        <v>126:45</v>
      </c>
      <c r="AB7" s="242" t="str">
        <f>IF(SUM(AX10:BC10)=0,"",BF10&amp;":"&amp;BG10)</f>
        <v>6:0</v>
      </c>
      <c r="AC7" s="242" t="str">
        <f>IF(SUM(AX10:BC10)=0,"",BH10&amp;":"&amp;BI10)</f>
        <v>3:0</v>
      </c>
      <c r="AD7" s="243">
        <f>IF(SUM(BH10:BH13)&gt;0,BJ10,"")</f>
        <v>1</v>
      </c>
      <c r="AE7" s="24"/>
      <c r="AF7" s="24"/>
    </row>
    <row r="8" spans="9:32" ht="11.25" customHeight="1" thickBot="1">
      <c r="I8" s="2" t="str">
        <f>"1"&amp;O6&amp;N7</f>
        <v>11Beginners</v>
      </c>
      <c r="J8" s="2" t="str">
        <f>IF(AD7="","",IF(AD7=1,N8,IF(AD10=1,N11,IF(AD13=1,N14,IF(AD16=1,N17,"")))))</f>
        <v>S0029</v>
      </c>
      <c r="K8" s="2">
        <f>IF(AD7="","",IF(AD7=1,N9,IF(AD10=1,N12,IF(AD13=1,N15,IF(AD16=1,N18,"")))))</f>
        <v>0</v>
      </c>
      <c r="L8" s="2"/>
      <c r="N8" s="29" t="s">
        <v>11</v>
      </c>
      <c r="O8" s="30">
        <f>IF(O6&gt;0,(O6&amp;1)*1,"")</f>
        <v>11</v>
      </c>
      <c r="Q8" s="247"/>
      <c r="R8" s="247"/>
      <c r="S8" s="248"/>
      <c r="T8" s="249"/>
      <c r="U8" s="228" t="str">
        <f>IF(AND(N8&lt;&gt;"",N9=""),CONCATENATE(VLOOKUP(N8,'[1]zawodnicy'!$A:$E,1,FALSE)," ",VLOOKUP(N8,'[1]zawodnicy'!$A:$E,2,FALSE)," ",VLOOKUP(N8,'[1]zawodnicy'!$A:$E,3,FALSE)," - ",VLOOKUP(N8,'[1]zawodnicy'!$A:$E,4,FALSE)),"")</f>
        <v>S0029 Patryk STOLARZ - Mielec</v>
      </c>
      <c r="V8" s="228"/>
      <c r="W8" s="26"/>
      <c r="X8" s="27" t="str">
        <f>IF(SUM(AP15:AQ15)=0,"",AP15&amp;":"&amp;AQ15)</f>
        <v>21:8</v>
      </c>
      <c r="Y8" s="27" t="str">
        <f>IF(SUM(AP10:AQ10)=0,"",AP10&amp;":"&amp;AQ10)</f>
        <v>21:8</v>
      </c>
      <c r="Z8" s="28" t="str">
        <f>IF(SUM(AP12:AQ12)=0,"",AP12&amp;":"&amp;AQ12)</f>
        <v>21:5</v>
      </c>
      <c r="AA8" s="249"/>
      <c r="AB8" s="242"/>
      <c r="AC8" s="242"/>
      <c r="AD8" s="243"/>
      <c r="AE8" s="24"/>
      <c r="AF8" s="24"/>
    </row>
    <row r="9" spans="10:62" ht="11.25" customHeight="1" thickBot="1">
      <c r="J9" s="2"/>
      <c r="K9" s="31"/>
      <c r="L9" s="31"/>
      <c r="N9" s="32"/>
      <c r="O9" s="31"/>
      <c r="P9" s="31"/>
      <c r="Q9" s="247"/>
      <c r="R9" s="247"/>
      <c r="S9" s="248"/>
      <c r="T9" s="249"/>
      <c r="U9" s="231">
        <f>IF(N9&lt;&gt;"",CONCATENATE(VLOOKUP(N9,'[1]zawodnicy'!$A:$E,1,FALSE)," ",VLOOKUP(N9,'[1]zawodnicy'!$A:$E,2,FALSE)," ",VLOOKUP(N9,'[1]zawodnicy'!$A:$E,3,FALSE)," - ",VLOOKUP(N9,'[1]zawodnicy'!$A:$E,4,FALSE)),"")</f>
      </c>
      <c r="V9" s="231"/>
      <c r="W9" s="26"/>
      <c r="X9" s="33">
        <f>IF(SUM(AR15:AS15)=0,"",AR15&amp;":"&amp;AS15)</f>
      </c>
      <c r="Y9" s="33">
        <f>IF(SUM(AR10:AS10)=0,"",AR10&amp;":"&amp;AS10)</f>
      </c>
      <c r="Z9" s="34">
        <f>IF(SUM(AR12:AS12)=0,"",AR12&amp;":"&amp;AS12)</f>
      </c>
      <c r="AA9" s="249"/>
      <c r="AB9" s="242"/>
      <c r="AC9" s="242"/>
      <c r="AD9" s="243"/>
      <c r="AE9" s="24"/>
      <c r="AF9" s="24"/>
      <c r="AH9" s="239" t="s">
        <v>12</v>
      </c>
      <c r="AI9" s="239"/>
      <c r="AJ9" s="240" t="s">
        <v>13</v>
      </c>
      <c r="AK9" s="240"/>
      <c r="AL9" s="241" t="s">
        <v>14</v>
      </c>
      <c r="AM9" s="241"/>
      <c r="AN9" s="239" t="s">
        <v>12</v>
      </c>
      <c r="AO9" s="239"/>
      <c r="AP9" s="240" t="s">
        <v>13</v>
      </c>
      <c r="AQ9" s="240"/>
      <c r="AR9" s="241" t="s">
        <v>14</v>
      </c>
      <c r="AS9" s="241"/>
      <c r="AV9" s="239">
        <v>1</v>
      </c>
      <c r="AW9" s="239"/>
      <c r="AX9" s="240">
        <v>2</v>
      </c>
      <c r="AY9" s="240"/>
      <c r="AZ9" s="240">
        <v>3</v>
      </c>
      <c r="BA9" s="240"/>
      <c r="BB9" s="241">
        <v>4</v>
      </c>
      <c r="BC9" s="241"/>
      <c r="BD9" s="235" t="s">
        <v>3</v>
      </c>
      <c r="BE9" s="235"/>
      <c r="BF9" s="235" t="s">
        <v>4</v>
      </c>
      <c r="BG9" s="235"/>
      <c r="BH9" s="235" t="s">
        <v>5</v>
      </c>
      <c r="BI9" s="235"/>
      <c r="BJ9" s="35" t="s">
        <v>6</v>
      </c>
    </row>
    <row r="10" spans="1:63" ht="11.25" customHeight="1">
      <c r="A10" s="11">
        <f aca="true" t="shared" si="0" ref="A10:A15">S10</f>
        <v>1</v>
      </c>
      <c r="B10" s="11" t="str">
        <f>IF(N8="","",N8)</f>
        <v>S0029</v>
      </c>
      <c r="C10" s="11">
        <f>IF(N9="","",N9)</f>
      </c>
      <c r="D10" s="11" t="str">
        <f>IF(N14="","",N14)</f>
        <v>R0016</v>
      </c>
      <c r="E10" s="11">
        <f>IF(N15="","",N15)</f>
      </c>
      <c r="I10" s="2" t="str">
        <f>"2"&amp;O6&amp;N7</f>
        <v>21Beginners</v>
      </c>
      <c r="J10" s="2" t="str">
        <f>IF(AD10="","",IF(AD7=2,N8,IF(AD10=2,N11,IF(AD13=2,N14,IF(AD16=2,N17,"")))))</f>
        <v>W0013</v>
      </c>
      <c r="K10" s="2">
        <f>IF(AD10="","",IF(AD7=2,N9,IF(AD10=2,N12,IF(AD13=2,N15,IF(AD16=2,N18,"")))))</f>
        <v>0</v>
      </c>
      <c r="L10" s="2"/>
      <c r="M10" s="2" t="str">
        <f>N7</f>
        <v>Beginners</v>
      </c>
      <c r="O10" s="31"/>
      <c r="P10" s="31"/>
      <c r="Q10" s="36">
        <f>IF(AT10&gt;0,"",IF(A10=0,"",IF(VLOOKUP(A10,'[1]plan_gier'!A:S,19,FALSE)="","",VLOOKUP(A10,'[1]plan_gier'!A:S,19,FALSE))))</f>
      </c>
      <c r="R10" s="37" t="s">
        <v>15</v>
      </c>
      <c r="S10" s="38">
        <v>1</v>
      </c>
      <c r="T10" s="236">
        <v>2</v>
      </c>
      <c r="U10" s="233">
        <f>IF(AND(N11&lt;&gt;"",N12&lt;&gt;""),CONCATENATE(VLOOKUP(N11,'[1]zawodnicy'!$A:$E,1,FALSE)," ",VLOOKUP(N11,'[1]zawodnicy'!$A:$E,2,FALSE)," ",VLOOKUP(N11,'[1]zawodnicy'!$A:$E,3,FALSE)," - ",VLOOKUP(N11,'[1]zawodnicy'!$A:$E,4,FALSE)),"")</f>
      </c>
      <c r="V10" s="233"/>
      <c r="W10" s="39" t="str">
        <f>IF(SUM(AN15:AO15)=0,"",AO15&amp;":"&amp;AN15)</f>
        <v>6:21</v>
      </c>
      <c r="X10" s="40"/>
      <c r="Y10" s="41" t="str">
        <f>IF(SUM(AN13:AO13)=0,"",AN13&amp;":"&amp;AO13)</f>
        <v>22:20</v>
      </c>
      <c r="Z10" s="42" t="str">
        <f>IF(SUM(AN11:AO11)=0,"",AN11&amp;":"&amp;AO11)</f>
        <v>22:20</v>
      </c>
      <c r="AA10" s="236" t="str">
        <f>IF(SUM(AV11:AW11,AZ11:BC11)=0,"",BD11&amp;":"&amp;BE11)</f>
        <v>103:140</v>
      </c>
      <c r="AB10" s="237" t="str">
        <f>IF(SUM(AV11:AW11,AZ11:BC11)=0,"",BF11&amp;":"&amp;BG11)</f>
        <v>3:4</v>
      </c>
      <c r="AC10" s="237" t="str">
        <f>IF(SUM(AV11:AW11,AZ11:BC11)=0,"",BH11&amp;":"&amp;BI11)</f>
        <v>1:2</v>
      </c>
      <c r="AD10" s="238">
        <f>IF(SUM(BH10:BH13)&gt;0,BJ11,"")</f>
        <v>3</v>
      </c>
      <c r="AE10" s="24"/>
      <c r="AF10" s="24"/>
      <c r="AG10" s="37" t="s">
        <v>15</v>
      </c>
      <c r="AH10" s="43">
        <f>IF(ISBLANK(S10),"",VLOOKUP(S10,'[1]plan_gier'!$X:$AN,12,FALSE))</f>
        <v>21</v>
      </c>
      <c r="AI10" s="44">
        <f>IF(ISBLANK(S10),"",VLOOKUP(S10,'[1]plan_gier'!$X:$AN,13,FALSE))</f>
        <v>6</v>
      </c>
      <c r="AJ10" s="44">
        <f>IF(ISBLANK(S10),"",VLOOKUP(S10,'[1]plan_gier'!$X:$AN,14,FALSE))</f>
        <v>21</v>
      </c>
      <c r="AK10" s="44">
        <f>IF(ISBLANK(S10),"",VLOOKUP(S10,'[1]plan_gier'!$X:$AN,15,FALSE))</f>
        <v>8</v>
      </c>
      <c r="AL10" s="44">
        <f>IF(ISBLANK(S10),"",VLOOKUP(S10,'[1]plan_gier'!$X:$AN,16,FALSE))</f>
        <v>0</v>
      </c>
      <c r="AM10" s="44">
        <f>IF(ISBLANK(S10),"",VLOOKUP(S10,'[1]plan_gier'!$X:$AN,17,FALSE))</f>
        <v>0</v>
      </c>
      <c r="AN10" s="45">
        <f aca="true" t="shared" si="1" ref="AN10:AS15">IF(AH10="",0,AH10)</f>
        <v>21</v>
      </c>
      <c r="AO10" s="46">
        <f t="shared" si="1"/>
        <v>6</v>
      </c>
      <c r="AP10" s="46">
        <f t="shared" si="1"/>
        <v>21</v>
      </c>
      <c r="AQ10" s="46">
        <f t="shared" si="1"/>
        <v>8</v>
      </c>
      <c r="AR10" s="46">
        <f t="shared" si="1"/>
        <v>0</v>
      </c>
      <c r="AS10" s="47">
        <f t="shared" si="1"/>
        <v>0</v>
      </c>
      <c r="AT10" s="48">
        <f aca="true" t="shared" si="2" ref="AT10:AT15">SUM(AN10:AS10)</f>
        <v>56</v>
      </c>
      <c r="AU10" s="49">
        <v>1</v>
      </c>
      <c r="AV10" s="251"/>
      <c r="AW10" s="251"/>
      <c r="AX10" s="46">
        <f>IF(AH15&gt;AI15,1,0)+IF(AJ15&gt;AK15,1,0)+IF(AL15&gt;AM15,1,0)</f>
        <v>2</v>
      </c>
      <c r="AY10" s="46">
        <f>AV11</f>
        <v>0</v>
      </c>
      <c r="AZ10" s="46">
        <f>IF(AH10&gt;AI10,1,0)+IF(AJ10&gt;AK10,1,0)+IF(AL10&gt;AM10,1,0)</f>
        <v>2</v>
      </c>
      <c r="BA10" s="44">
        <f>AV12</f>
        <v>0</v>
      </c>
      <c r="BB10" s="50">
        <f>IF(AH12&gt;AI12,1,0)+IF(AJ12&gt;AK12,1,0)+IF(AL12&gt;AM12,1,0)</f>
        <v>2</v>
      </c>
      <c r="BC10" s="51">
        <f>AV13</f>
        <v>0</v>
      </c>
      <c r="BD10" s="43">
        <f>AN10+AP10+AR10+AN12+AP12+AR12+AN15+AP15+AR15</f>
        <v>126</v>
      </c>
      <c r="BE10" s="52">
        <f>AO10+AQ10+AS10+AO12+AQ12+AS12+AO15+AQ15+AS15</f>
        <v>45</v>
      </c>
      <c r="BF10" s="43">
        <f>AX10+AZ10+BB10</f>
        <v>6</v>
      </c>
      <c r="BG10" s="53">
        <f>AY10+BA10+BC10</f>
        <v>0</v>
      </c>
      <c r="BH10" s="43">
        <f>IF(AX10&gt;AY10,1,0)+IF(AZ10&gt;BA10,1,0)+IF(BB10&gt;BC10,1,0)</f>
        <v>3</v>
      </c>
      <c r="BI10" s="53">
        <f>IF(AY10&gt;AX10,1,0)+IF(BA10&gt;AZ10,1,0)+IF(BC10&gt;BB10,1,0)</f>
        <v>0</v>
      </c>
      <c r="BJ10" s="54">
        <f>IF(BH10+BI10=0,"",IF(BK10=MAX(BK10:BK13),1,IF(BK10=LARGE(BK10:BK13,2),2,IF(BK10=MIN(BK10:BK13),4,3))))</f>
        <v>1</v>
      </c>
      <c r="BK10" s="55">
        <f>IF(BH10+BI10&lt;&gt;0,BH10-BI10+(BF10-BG10)/100+(BD10-BE10)/10000,-3)</f>
        <v>3.0681000000000003</v>
      </c>
    </row>
    <row r="11" spans="1:63" ht="11.25" customHeight="1">
      <c r="A11" s="11">
        <f t="shared" si="0"/>
        <v>2</v>
      </c>
      <c r="B11" s="11" t="str">
        <f>IF(N11="","",N11)</f>
        <v>H0006</v>
      </c>
      <c r="C11" s="11">
        <f>IF(N12="","",N12)</f>
      </c>
      <c r="D11" s="11" t="str">
        <f>IF(N17="","",N17)</f>
        <v>W0013</v>
      </c>
      <c r="E11" s="11">
        <f>IF(N18="","",N18)</f>
      </c>
      <c r="J11" s="2"/>
      <c r="K11" s="11"/>
      <c r="L11" s="11"/>
      <c r="M11" s="2" t="str">
        <f>N7</f>
        <v>Beginners</v>
      </c>
      <c r="N11" s="29" t="s">
        <v>16</v>
      </c>
      <c r="O11" s="30">
        <f>IF(O6&gt;0,(O6&amp;2)*1,"")</f>
        <v>12</v>
      </c>
      <c r="Q11" s="36">
        <f>IF(AT11&gt;0,"",IF(A11=0,"",IF(VLOOKUP(A11,'[1]plan_gier'!A:S,19,FALSE)="","",VLOOKUP(A11,'[1]plan_gier'!A:S,19,FALSE))))</f>
      </c>
      <c r="R11" s="37" t="s">
        <v>17</v>
      </c>
      <c r="S11" s="38">
        <v>2</v>
      </c>
      <c r="T11" s="236"/>
      <c r="U11" s="228" t="str">
        <f>IF(AND(N11&lt;&gt;"",N12=""),CONCATENATE(VLOOKUP(N11,'[1]zawodnicy'!$A:$E,1,FALSE)," ",VLOOKUP(N11,'[1]zawodnicy'!$A:$E,2,FALSE)," ",VLOOKUP(N11,'[1]zawodnicy'!$A:$E,3,FALSE)," - ",VLOOKUP(N11,'[1]zawodnicy'!$A:$E,4,FALSE)),"")</f>
        <v>H0006 Natalia HAŁATA - Mielec</v>
      </c>
      <c r="V11" s="228"/>
      <c r="W11" s="56" t="str">
        <f>IF(SUM(AP15:AQ15)=0,"",AQ15&amp;":"&amp;AP15)</f>
        <v>8:21</v>
      </c>
      <c r="X11" s="57"/>
      <c r="Y11" s="27" t="str">
        <f>IF(SUM(AP13:AQ13)=0,"",AP13&amp;":"&amp;AQ13)</f>
        <v>21:16</v>
      </c>
      <c r="Z11" s="58" t="str">
        <f>IF(SUM(AP11:AQ11)=0,"",AP11&amp;":"&amp;AQ11)</f>
        <v>10:21</v>
      </c>
      <c r="AA11" s="236"/>
      <c r="AB11" s="237"/>
      <c r="AC11" s="237"/>
      <c r="AD11" s="238"/>
      <c r="AE11" s="24"/>
      <c r="AF11" s="24"/>
      <c r="AG11" s="37" t="s">
        <v>17</v>
      </c>
      <c r="AH11" s="45">
        <f>IF(ISBLANK(S11),"",VLOOKUP(S11,'[1]plan_gier'!$X:$AN,12,FALSE))</f>
        <v>22</v>
      </c>
      <c r="AI11" s="46">
        <f>IF(ISBLANK(S11),"",VLOOKUP(S11,'[1]plan_gier'!$X:$AN,13,FALSE))</f>
        <v>20</v>
      </c>
      <c r="AJ11" s="46">
        <f>IF(ISBLANK(S11),"",VLOOKUP(S11,'[1]plan_gier'!$X:$AN,14,FALSE))</f>
        <v>10</v>
      </c>
      <c r="AK11" s="46">
        <f>IF(ISBLANK(S11),"",VLOOKUP(S11,'[1]plan_gier'!$X:$AN,15,FALSE))</f>
        <v>21</v>
      </c>
      <c r="AL11" s="46">
        <f>IF(ISBLANK(S11),"",VLOOKUP(S11,'[1]plan_gier'!$X:$AN,16,FALSE))</f>
        <v>14</v>
      </c>
      <c r="AM11" s="46">
        <f>IF(ISBLANK(S11),"",VLOOKUP(S11,'[1]plan_gier'!$X:$AN,17,FALSE))</f>
        <v>21</v>
      </c>
      <c r="AN11" s="59">
        <f t="shared" si="1"/>
        <v>22</v>
      </c>
      <c r="AO11" s="60">
        <f t="shared" si="1"/>
        <v>20</v>
      </c>
      <c r="AP11" s="60">
        <f t="shared" si="1"/>
        <v>10</v>
      </c>
      <c r="AQ11" s="60">
        <f t="shared" si="1"/>
        <v>21</v>
      </c>
      <c r="AR11" s="60">
        <f t="shared" si="1"/>
        <v>14</v>
      </c>
      <c r="AS11" s="61">
        <f t="shared" si="1"/>
        <v>21</v>
      </c>
      <c r="AT11" s="48">
        <f t="shared" si="2"/>
        <v>108</v>
      </c>
      <c r="AU11" s="49">
        <v>2</v>
      </c>
      <c r="AV11" s="59">
        <f>IF(AH15&lt;AI15,1,0)+IF(AJ15&lt;AK15,1,0)+IF(AL15&lt;AM15,1,0)</f>
        <v>0</v>
      </c>
      <c r="AW11" s="60">
        <f>AX10</f>
        <v>2</v>
      </c>
      <c r="AX11" s="62"/>
      <c r="AY11" s="63"/>
      <c r="AZ11" s="60">
        <f>IF(AH13&gt;AI13,1,0)+IF(AJ13&gt;AK13,1,0)+IF(AL13&gt;AM13,1,0)</f>
        <v>2</v>
      </c>
      <c r="BA11" s="60">
        <f>AX12</f>
        <v>0</v>
      </c>
      <c r="BB11" s="64">
        <f>IF(AH11&gt;AI11,1,0)+IF(AJ11&gt;AK11,1,0)+IF(AL11&gt;AM11,1,0)</f>
        <v>1</v>
      </c>
      <c r="BC11" s="65">
        <f>AX13</f>
        <v>2</v>
      </c>
      <c r="BD11" s="59">
        <f>AN11+AP11+AR11+AN13+AP13+AR13+AO15+AQ15+AS15</f>
        <v>103</v>
      </c>
      <c r="BE11" s="65">
        <f>AO11+AQ11+AS11+AO13+AQ13+AS13+AN15+AP15+AR15</f>
        <v>140</v>
      </c>
      <c r="BF11" s="59">
        <f>AV11+AZ11+BB11</f>
        <v>3</v>
      </c>
      <c r="BG11" s="61">
        <f>AW11+BA11+BC11</f>
        <v>4</v>
      </c>
      <c r="BH11" s="59">
        <f>IF(AV11&gt;AW11,1,0)+IF(AZ11&gt;BA11,1,0)+IF(BB11&gt;BC11,1,0)</f>
        <v>1</v>
      </c>
      <c r="BI11" s="61">
        <f>IF(AW11&gt;AV11,1,0)+IF(BA11&gt;AZ11,1,0)+IF(BC11&gt;BB11,1,0)</f>
        <v>2</v>
      </c>
      <c r="BJ11" s="66">
        <f>IF(BH11+BI11=0,"",IF(BK11=MAX(BK10:BK13),1,IF(BK11=LARGE(BK10:BK13,2),2,IF(BK11=MIN(BK10:BK13),4,3))))</f>
        <v>3</v>
      </c>
      <c r="BK11" s="55">
        <f>IF(BH11+BI11&lt;&gt;0,BH11-BI11+(BF11-BG11)/100+(BD11-BE11)/10000,-3)</f>
        <v>-1.0137</v>
      </c>
    </row>
    <row r="12" spans="1:63" ht="11.25" customHeight="1">
      <c r="A12" s="11">
        <f t="shared" si="0"/>
        <v>6</v>
      </c>
      <c r="B12" s="11" t="str">
        <f>IF(N8="","",N8)</f>
        <v>S0029</v>
      </c>
      <c r="C12" s="11">
        <f>IF(N9="","",N9)</f>
      </c>
      <c r="D12" s="11" t="str">
        <f>IF(N17="","",N17)</f>
        <v>W0013</v>
      </c>
      <c r="E12" s="11">
        <f>IF(N18="","",N18)</f>
      </c>
      <c r="I12" s="2" t="str">
        <f>"3"&amp;O6&amp;N7</f>
        <v>31Beginners</v>
      </c>
      <c r="J12" s="2" t="str">
        <f>IF(AD13="","",IF(AD7=3,N8,IF(AD10=3,N11,IF(AD13=3,N14,IF(AD16=3,N17,"")))))</f>
        <v>H0006</v>
      </c>
      <c r="K12" s="2">
        <f>IF(AD13="","",IF(AD7=3,N9,IF(AD10=3,N12,IF(AD13=3,N15,IF(AD16=3,N18,"")))))</f>
        <v>0</v>
      </c>
      <c r="L12" s="2"/>
      <c r="M12" s="2" t="str">
        <f>N7</f>
        <v>Beginners</v>
      </c>
      <c r="N12" s="32"/>
      <c r="O12" s="31"/>
      <c r="P12" s="31"/>
      <c r="Q12" s="36">
        <f>IF(AT12&gt;0,"",IF(A12=0,"",IF(VLOOKUP(A12,'[1]plan_gier'!A:S,19,FALSE)="","",VLOOKUP(A12,'[1]plan_gier'!A:S,19,FALSE))))</f>
      </c>
      <c r="R12" s="37" t="s">
        <v>18</v>
      </c>
      <c r="S12" s="38">
        <v>6</v>
      </c>
      <c r="T12" s="236"/>
      <c r="U12" s="231">
        <f>IF(N12&lt;&gt;"",CONCATENATE(VLOOKUP(N12,'[1]zawodnicy'!$A:$E,1,FALSE)," ",VLOOKUP(N12,'[1]zawodnicy'!$A:$E,2,FALSE)," ",VLOOKUP(N12,'[1]zawodnicy'!$A:$E,3,FALSE)," - ",VLOOKUP(N12,'[1]zawodnicy'!$A:$E,4,FALSE)),"")</f>
      </c>
      <c r="V12" s="231"/>
      <c r="W12" s="67">
        <f>IF(SUM(AR15:AS15)=0,"",AS15&amp;":"&amp;AR15)</f>
      </c>
      <c r="X12" s="57"/>
      <c r="Y12" s="33">
        <f>IF(SUM(AR13:AS13)=0,"",AR13&amp;":"&amp;AS13)</f>
      </c>
      <c r="Z12" s="68" t="str">
        <f>IF(SUM(AR11:AS11)=0,"",AR11&amp;":"&amp;AS11)</f>
        <v>14:21</v>
      </c>
      <c r="AA12" s="236"/>
      <c r="AB12" s="237"/>
      <c r="AC12" s="237"/>
      <c r="AD12" s="238"/>
      <c r="AE12" s="24"/>
      <c r="AF12" s="24"/>
      <c r="AG12" s="37" t="s">
        <v>18</v>
      </c>
      <c r="AH12" s="45">
        <f>IF(ISBLANK(S12),"",VLOOKUP(S12,'[1]plan_gier'!$X:$AN,12,FALSE))</f>
        <v>21</v>
      </c>
      <c r="AI12" s="46">
        <f>IF(ISBLANK(S12),"",VLOOKUP(S12,'[1]plan_gier'!$X:$AN,13,FALSE))</f>
        <v>12</v>
      </c>
      <c r="AJ12" s="46">
        <f>IF(ISBLANK(S12),"",VLOOKUP(S12,'[1]plan_gier'!$X:$AN,14,FALSE))</f>
        <v>21</v>
      </c>
      <c r="AK12" s="46">
        <f>IF(ISBLANK(S12),"",VLOOKUP(S12,'[1]plan_gier'!$X:$AN,15,FALSE))</f>
        <v>5</v>
      </c>
      <c r="AL12" s="46">
        <f>IF(ISBLANK(S12),"",VLOOKUP(S12,'[1]plan_gier'!$X:$AN,16,FALSE))</f>
        <v>0</v>
      </c>
      <c r="AM12" s="46">
        <f>IF(ISBLANK(S12),"",VLOOKUP(S12,'[1]plan_gier'!$X:$AN,17,FALSE))</f>
        <v>0</v>
      </c>
      <c r="AN12" s="59">
        <f t="shared" si="1"/>
        <v>21</v>
      </c>
      <c r="AO12" s="60">
        <f t="shared" si="1"/>
        <v>12</v>
      </c>
      <c r="AP12" s="60">
        <f t="shared" si="1"/>
        <v>21</v>
      </c>
      <c r="AQ12" s="60">
        <f t="shared" si="1"/>
        <v>5</v>
      </c>
      <c r="AR12" s="60">
        <f t="shared" si="1"/>
        <v>0</v>
      </c>
      <c r="AS12" s="61">
        <f t="shared" si="1"/>
        <v>0</v>
      </c>
      <c r="AT12" s="48">
        <f t="shared" si="2"/>
        <v>59</v>
      </c>
      <c r="AU12" s="49">
        <v>3</v>
      </c>
      <c r="AV12" s="59">
        <f>IF(AH10&lt;AI10,1,0)+IF(AJ10&lt;AK10,1,0)+IF(AL10&lt;AM10,1,0)</f>
        <v>0</v>
      </c>
      <c r="AW12" s="60">
        <f>AZ10</f>
        <v>2</v>
      </c>
      <c r="AX12" s="60">
        <f>IF(AH13&lt;AI13,1,0)+IF(AJ13&lt;AK13,1,0)+IF(AL13&lt;AM13,1,0)</f>
        <v>0</v>
      </c>
      <c r="AY12" s="60">
        <f>AZ11</f>
        <v>2</v>
      </c>
      <c r="AZ12" s="62"/>
      <c r="BA12" s="63"/>
      <c r="BB12" s="60">
        <f>IF(AH14&gt;AI14,1,0)+IF(AJ14&gt;AK14,1,0)+IF(AL14&gt;AM14,1,0)</f>
        <v>1</v>
      </c>
      <c r="BC12" s="65">
        <f>AZ13</f>
        <v>2</v>
      </c>
      <c r="BD12" s="69">
        <f>AO10+AQ10+AS10+AO13+AQ13+AS13+AN14+AP14+AR14</f>
        <v>104</v>
      </c>
      <c r="BE12" s="70">
        <f>AN10+AP10+AR10+AN13+AP13+AR13+AO14+AQ14+AS14</f>
        <v>148</v>
      </c>
      <c r="BF12" s="69">
        <f>AV12+AX12+BB12</f>
        <v>1</v>
      </c>
      <c r="BG12" s="71">
        <f>AW12+AY12+BC12</f>
        <v>6</v>
      </c>
      <c r="BH12" s="59">
        <f>IF(AV12&gt;AW12,1,0)+IF(AX12&gt;AY12,1,0)+IF(BB12&gt;BC12,1,0)</f>
        <v>0</v>
      </c>
      <c r="BI12" s="61">
        <f>IF(AW12&gt;AV12,1,0)+IF(AY12&gt;AX12,1,0)+IF(BC12&gt;BB12,1,0)</f>
        <v>3</v>
      </c>
      <c r="BJ12" s="66">
        <f>IF(BH12+BI12=0,"",IF(BK12=MAX(BK10:BK13),1,IF(BK12=LARGE(BK10:BK13,2),2,IF(BK12=MIN(BK10:BK13),4,3))))</f>
        <v>4</v>
      </c>
      <c r="BK12" s="55">
        <f>IF(BH12+BI12&lt;&gt;0,BH12-BI12+(BF12-BG12)/100+(BD12-BE12)/10000,-3)</f>
        <v>-3.0544</v>
      </c>
    </row>
    <row r="13" spans="1:63" ht="11.25" customHeight="1" thickBot="1">
      <c r="A13" s="11">
        <f t="shared" si="0"/>
        <v>7</v>
      </c>
      <c r="B13" s="11" t="str">
        <f>IF(N11="","",N11)</f>
        <v>H0006</v>
      </c>
      <c r="C13" s="11">
        <f>IF(N12="","",N12)</f>
      </c>
      <c r="D13" s="11" t="str">
        <f>IF(N14="","",N14)</f>
        <v>R0016</v>
      </c>
      <c r="E13" s="11">
        <f>IF(N15="","",N15)</f>
      </c>
      <c r="J13" s="2"/>
      <c r="K13" s="31"/>
      <c r="L13" s="31"/>
      <c r="M13" s="2" t="str">
        <f>N7</f>
        <v>Beginners</v>
      </c>
      <c r="O13" s="31"/>
      <c r="P13" s="31"/>
      <c r="Q13" s="36">
        <f>IF(AT13&gt;0,"",IF(A13=0,"",IF(VLOOKUP(A13,'[1]plan_gier'!A:S,19,FALSE)="","",VLOOKUP(A13,'[1]plan_gier'!A:S,19,FALSE))))</f>
      </c>
      <c r="R13" s="37" t="s">
        <v>19</v>
      </c>
      <c r="S13" s="38">
        <v>7</v>
      </c>
      <c r="T13" s="236">
        <v>3</v>
      </c>
      <c r="U13" s="233">
        <f>IF(AND(N14&lt;&gt;"",N15&lt;&gt;""),CONCATENATE(VLOOKUP(N14,'[1]zawodnicy'!$A:$E,1,FALSE)," ",VLOOKUP(N14,'[1]zawodnicy'!$A:$E,2,FALSE)," ",VLOOKUP(N14,'[1]zawodnicy'!$A:$E,3,FALSE)," - ",VLOOKUP(N14,'[1]zawodnicy'!$A:$E,4,FALSE)),"")</f>
      </c>
      <c r="V13" s="233"/>
      <c r="W13" s="39" t="str">
        <f>IF(SUM(AN10:AO10)=0,"",AO10&amp;":"&amp;AN10)</f>
        <v>6:21</v>
      </c>
      <c r="X13" s="41" t="str">
        <f>IF(SUM(AN13:AO13)=0,"",AO13&amp;":"&amp;AN13)</f>
        <v>20:22</v>
      </c>
      <c r="Y13" s="72"/>
      <c r="Z13" s="42" t="str">
        <f>IF(SUM(AN14:AO14)=0,"",AN14&amp;":"&amp;AO14)</f>
        <v>19:21</v>
      </c>
      <c r="AA13" s="236" t="str">
        <f>IF(SUM(AV12:AY12,BB12:BC12)=0,"",BD12&amp;":"&amp;BE12)</f>
        <v>104:148</v>
      </c>
      <c r="AB13" s="237" t="str">
        <f>IF(SUM(AV12:AY12,BB12:BC12)=0,"",BF12&amp;":"&amp;BG12)</f>
        <v>1:6</v>
      </c>
      <c r="AC13" s="237" t="str">
        <f>IF(SUM(AV12:AY12,BB12:BC12)=0,"",BH12&amp;":"&amp;BI12)</f>
        <v>0:3</v>
      </c>
      <c r="AD13" s="238">
        <f>IF(SUM(BH10:BH13)&gt;0,BJ12,"")</f>
        <v>4</v>
      </c>
      <c r="AE13" s="24"/>
      <c r="AF13" s="24"/>
      <c r="AG13" s="37" t="s">
        <v>19</v>
      </c>
      <c r="AH13" s="45">
        <f>IF(ISBLANK(S13),"",VLOOKUP(S13,'[1]plan_gier'!$X:$AN,12,FALSE))</f>
        <v>22</v>
      </c>
      <c r="AI13" s="46">
        <f>IF(ISBLANK(S13),"",VLOOKUP(S13,'[1]plan_gier'!$X:$AN,13,FALSE))</f>
        <v>20</v>
      </c>
      <c r="AJ13" s="46">
        <f>IF(ISBLANK(S13),"",VLOOKUP(S13,'[1]plan_gier'!$X:$AN,14,FALSE))</f>
        <v>21</v>
      </c>
      <c r="AK13" s="46">
        <f>IF(ISBLANK(S13),"",VLOOKUP(S13,'[1]plan_gier'!$X:$AN,15,FALSE))</f>
        <v>16</v>
      </c>
      <c r="AL13" s="46">
        <f>IF(ISBLANK(S13),"",VLOOKUP(S13,'[1]plan_gier'!$X:$AN,16,FALSE))</f>
        <v>0</v>
      </c>
      <c r="AM13" s="46">
        <f>IF(ISBLANK(S13),"",VLOOKUP(S13,'[1]plan_gier'!$X:$AN,17,FALSE))</f>
        <v>0</v>
      </c>
      <c r="AN13" s="59">
        <f t="shared" si="1"/>
        <v>22</v>
      </c>
      <c r="AO13" s="60">
        <f t="shared" si="1"/>
        <v>20</v>
      </c>
      <c r="AP13" s="60">
        <f t="shared" si="1"/>
        <v>21</v>
      </c>
      <c r="AQ13" s="60">
        <f t="shared" si="1"/>
        <v>16</v>
      </c>
      <c r="AR13" s="60">
        <f t="shared" si="1"/>
        <v>0</v>
      </c>
      <c r="AS13" s="61">
        <f t="shared" si="1"/>
        <v>0</v>
      </c>
      <c r="AT13" s="48">
        <f t="shared" si="2"/>
        <v>79</v>
      </c>
      <c r="AU13" s="49">
        <v>4</v>
      </c>
      <c r="AV13" s="73">
        <f>IF(AH12&lt;AI12,1,0)+IF(AJ12&lt;AK12,1,0)+IF(AL12&lt;AM12,1,0)</f>
        <v>0</v>
      </c>
      <c r="AW13" s="74">
        <f>BB10</f>
        <v>2</v>
      </c>
      <c r="AX13" s="74">
        <f>IF(AH11&lt;AI11,1,0)+IF(AJ11&lt;AK11,1,0)+IF(AL11&lt;AM11,1,0)</f>
        <v>2</v>
      </c>
      <c r="AY13" s="74">
        <f>BB11</f>
        <v>1</v>
      </c>
      <c r="AZ13" s="75">
        <f>IF(AH14&lt;AI14,1,0)+IF(AJ14&lt;AK14,1,0)+IF(AL14&lt;AM14,1,0)</f>
        <v>2</v>
      </c>
      <c r="BA13" s="75">
        <f>BB12</f>
        <v>1</v>
      </c>
      <c r="BB13" s="76"/>
      <c r="BC13" s="77"/>
      <c r="BD13" s="78">
        <f>AO11+AQ11+AS11+AO12+AQ12+AS12+AO14+AQ14+AS14</f>
        <v>142</v>
      </c>
      <c r="BE13" s="79">
        <f>AN11+AP11+AR11+AN12+AP12+AR12+AN14+AP14+AR14</f>
        <v>142</v>
      </c>
      <c r="BF13" s="78">
        <f>AV13+AX13+AZ13</f>
        <v>4</v>
      </c>
      <c r="BG13" s="80">
        <f>AW13+AY13+BA13</f>
        <v>4</v>
      </c>
      <c r="BH13" s="78">
        <f>IF(AV13&gt;AW13,1,0)+IF(AX13&gt;AY13,1,0)+IF(AZ13&gt;BA13,1,0)</f>
        <v>2</v>
      </c>
      <c r="BI13" s="80">
        <f>IF(AW13&gt;AV13,1,0)+IF(AY13&gt;AX13,1,0)+IF(BA13&gt;AZ13,1,0)</f>
        <v>1</v>
      </c>
      <c r="BJ13" s="81">
        <f>IF(BH13+BI13=0,"",IF(BK13=MAX(BK10:BK13),1,IF(BK13=LARGE(BK10:BK13,2),2,IF(BK13=MIN(BK10:BK13),4,3))))</f>
        <v>2</v>
      </c>
      <c r="BK13" s="55">
        <f>IF(BH13+BI13&lt;&gt;0,BH13-BI13+(BF13-BG13)/100+(BD13-BE13)/10000,-3)</f>
        <v>1</v>
      </c>
    </row>
    <row r="14" spans="1:63" ht="11.25" customHeight="1">
      <c r="A14" s="11">
        <f t="shared" si="0"/>
        <v>11</v>
      </c>
      <c r="B14" s="11" t="str">
        <f>IF(N14="","",N14)</f>
        <v>R0016</v>
      </c>
      <c r="C14" s="11">
        <f>IF(N15="","",N15)</f>
      </c>
      <c r="D14" s="11" t="str">
        <f>IF(N17="","",N17)</f>
        <v>W0013</v>
      </c>
      <c r="E14" s="11">
        <f>IF(N18="","",N18)</f>
      </c>
      <c r="I14" s="2" t="str">
        <f>"4"&amp;O6&amp;N7</f>
        <v>41Beginners</v>
      </c>
      <c r="J14" s="2" t="str">
        <f>IF(AD16="","",IF(AD7=4,N8,IF(AD10=4,N11,IF(AD13=4,N14,IF(AD16=4,N17,"")))))</f>
        <v>R0016</v>
      </c>
      <c r="K14" s="2">
        <f>IF(AD16="","",IF(AD7=4,N9,IF(AD10=4,N12,IF(AD13=4,N15,IF(AD16=4,N18,"")))))</f>
        <v>0</v>
      </c>
      <c r="L14" s="2"/>
      <c r="M14" s="2" t="str">
        <f>N7</f>
        <v>Beginners</v>
      </c>
      <c r="N14" s="29" t="s">
        <v>20</v>
      </c>
      <c r="O14" s="30">
        <f>IF(O6&gt;0,(O6&amp;3)*1,"")</f>
        <v>13</v>
      </c>
      <c r="Q14" s="36">
        <f>IF(AT14&gt;0,"",IF(A14=0,"",IF(VLOOKUP(A14,'[1]plan_gier'!A:S,19,FALSE)="","",VLOOKUP(A14,'[1]plan_gier'!A:S,19,FALSE))))</f>
      </c>
      <c r="R14" s="37" t="s">
        <v>21</v>
      </c>
      <c r="S14" s="38">
        <v>11</v>
      </c>
      <c r="T14" s="236"/>
      <c r="U14" s="228" t="str">
        <f>IF(AND(N14&lt;&gt;"",N15=""),CONCATENATE(VLOOKUP(N14,'[1]zawodnicy'!$A:$E,1,FALSE)," ",VLOOKUP(N14,'[1]zawodnicy'!$A:$E,2,FALSE)," ",VLOOKUP(N14,'[1]zawodnicy'!$A:$E,3,FALSE)," - ",VLOOKUP(N14,'[1]zawodnicy'!$A:$E,4,FALSE)),"")</f>
        <v>R0016 Oliwia RYBIŃSKA - Mielec</v>
      </c>
      <c r="V14" s="228"/>
      <c r="W14" s="56" t="str">
        <f>IF(SUM(AP10:AQ10)=0,"",AQ10&amp;":"&amp;AP10)</f>
        <v>8:21</v>
      </c>
      <c r="X14" s="27" t="str">
        <f>IF(SUM(AP13:AQ13)=0,"",AQ13&amp;":"&amp;AP13)</f>
        <v>16:21</v>
      </c>
      <c r="Y14" s="82"/>
      <c r="Z14" s="58" t="str">
        <f>IF(SUM(AP14:AQ14)=0,"",AP14&amp;":"&amp;AQ14)</f>
        <v>23:21</v>
      </c>
      <c r="AA14" s="236"/>
      <c r="AB14" s="237"/>
      <c r="AC14" s="237"/>
      <c r="AD14" s="238"/>
      <c r="AE14" s="24"/>
      <c r="AF14" s="24"/>
      <c r="AG14" s="37" t="s">
        <v>21</v>
      </c>
      <c r="AH14" s="45">
        <f>IF(ISBLANK(S14),"",VLOOKUP(S14,'[1]plan_gier'!$X:$AN,12,FALSE))</f>
        <v>19</v>
      </c>
      <c r="AI14" s="46">
        <f>IF(ISBLANK(S14),"",VLOOKUP(S14,'[1]plan_gier'!$X:$AN,13,FALSE))</f>
        <v>21</v>
      </c>
      <c r="AJ14" s="46">
        <f>IF(ISBLANK(S14),"",VLOOKUP(S14,'[1]plan_gier'!$X:$AN,14,FALSE))</f>
        <v>23</v>
      </c>
      <c r="AK14" s="46">
        <f>IF(ISBLANK(S14),"",VLOOKUP(S14,'[1]plan_gier'!$X:$AN,15,FALSE))</f>
        <v>21</v>
      </c>
      <c r="AL14" s="46">
        <f>IF(ISBLANK(S14),"",VLOOKUP(S14,'[1]plan_gier'!$X:$AN,16,FALSE))</f>
        <v>12</v>
      </c>
      <c r="AM14" s="46">
        <f>IF(ISBLANK(S14),"",VLOOKUP(S14,'[1]plan_gier'!$X:$AN,17,FALSE))</f>
        <v>21</v>
      </c>
      <c r="AN14" s="59">
        <f t="shared" si="1"/>
        <v>19</v>
      </c>
      <c r="AO14" s="60">
        <f t="shared" si="1"/>
        <v>21</v>
      </c>
      <c r="AP14" s="60">
        <f t="shared" si="1"/>
        <v>23</v>
      </c>
      <c r="AQ14" s="60">
        <f t="shared" si="1"/>
        <v>21</v>
      </c>
      <c r="AR14" s="60">
        <f t="shared" si="1"/>
        <v>12</v>
      </c>
      <c r="AS14" s="61">
        <f t="shared" si="1"/>
        <v>21</v>
      </c>
      <c r="AT14" s="48">
        <f t="shared" si="2"/>
        <v>117</v>
      </c>
      <c r="BD14" s="11">
        <f aca="true" t="shared" si="3" ref="BD14:BI14">SUM(BD10:BD13)</f>
        <v>475</v>
      </c>
      <c r="BE14" s="11">
        <f t="shared" si="3"/>
        <v>475</v>
      </c>
      <c r="BF14" s="11">
        <f t="shared" si="3"/>
        <v>14</v>
      </c>
      <c r="BG14" s="11">
        <f t="shared" si="3"/>
        <v>14</v>
      </c>
      <c r="BH14" s="11">
        <f t="shared" si="3"/>
        <v>6</v>
      </c>
      <c r="BI14" s="11">
        <f t="shared" si="3"/>
        <v>6</v>
      </c>
      <c r="BK14" s="12">
        <f>SUM(BK10:BK13)</f>
        <v>0</v>
      </c>
    </row>
    <row r="15" spans="1:46" ht="11.25" customHeight="1" thickBot="1">
      <c r="A15" s="11">
        <f t="shared" si="0"/>
        <v>12</v>
      </c>
      <c r="B15" s="11" t="str">
        <f>IF(N8="","",N8)</f>
        <v>S0029</v>
      </c>
      <c r="C15" s="11">
        <f>IF(N9="","",N9)</f>
      </c>
      <c r="D15" s="11" t="str">
        <f>IF(N11="","",N11)</f>
        <v>H0006</v>
      </c>
      <c r="E15" s="11">
        <f>IF(N12="","",N12)</f>
      </c>
      <c r="J15" s="31"/>
      <c r="K15" s="31"/>
      <c r="L15" s="31"/>
      <c r="M15" s="2" t="str">
        <f>N7</f>
        <v>Beginners</v>
      </c>
      <c r="N15" s="32"/>
      <c r="O15" s="31"/>
      <c r="P15" s="31"/>
      <c r="Q15" s="36">
        <f>IF(AT15&gt;0,"",IF(A15=0,"",IF(VLOOKUP(A15,'[1]plan_gier'!A:S,19,FALSE)="","",VLOOKUP(A15,'[1]plan_gier'!A:S,19,FALSE))))</f>
      </c>
      <c r="R15" s="37" t="s">
        <v>22</v>
      </c>
      <c r="S15" s="38">
        <v>12</v>
      </c>
      <c r="T15" s="236"/>
      <c r="U15" s="231">
        <f>IF(N15&lt;&gt;"",CONCATENATE(VLOOKUP(N15,'[1]zawodnicy'!$A:$E,1,FALSE)," ",VLOOKUP(N15,'[1]zawodnicy'!$A:$E,2,FALSE)," ",VLOOKUP(N15,'[1]zawodnicy'!$A:$E,3,FALSE)," - ",VLOOKUP(N15,'[1]zawodnicy'!$A:$E,4,FALSE)),"")</f>
      </c>
      <c r="V15" s="231"/>
      <c r="W15" s="67">
        <f>IF(SUM(AR10:AS10)=0,"",AS10&amp;":"&amp;AR10)</f>
      </c>
      <c r="X15" s="33">
        <f>IF(SUM(AR13:AS13)=0,"",AS13&amp;":"&amp;AR13)</f>
      </c>
      <c r="Y15" s="82"/>
      <c r="Z15" s="68" t="str">
        <f>IF(SUM(AR14:AS14)=0,"",AR14&amp;":"&amp;AS14)</f>
        <v>12:21</v>
      </c>
      <c r="AA15" s="236"/>
      <c r="AB15" s="237"/>
      <c r="AC15" s="237"/>
      <c r="AD15" s="238"/>
      <c r="AE15" s="24"/>
      <c r="AF15" s="24"/>
      <c r="AG15" s="37" t="s">
        <v>22</v>
      </c>
      <c r="AH15" s="73">
        <f>IF(ISBLANK(S15),"",VLOOKUP(S15,'[1]plan_gier'!$X:$AN,12,FALSE))</f>
        <v>21</v>
      </c>
      <c r="AI15" s="74">
        <f>IF(ISBLANK(S15),"",VLOOKUP(S15,'[1]plan_gier'!$X:$AN,13,FALSE))</f>
        <v>6</v>
      </c>
      <c r="AJ15" s="74">
        <f>IF(ISBLANK(S15),"",VLOOKUP(S15,'[1]plan_gier'!$X:$AN,14,FALSE))</f>
        <v>21</v>
      </c>
      <c r="AK15" s="74">
        <f>IF(ISBLANK(S15),"",VLOOKUP(S15,'[1]plan_gier'!$X:$AN,15,FALSE))</f>
        <v>8</v>
      </c>
      <c r="AL15" s="74">
        <f>IF(ISBLANK(S15),"",VLOOKUP(S15,'[1]plan_gier'!$X:$AN,16,FALSE))</f>
        <v>0</v>
      </c>
      <c r="AM15" s="74">
        <f>IF(ISBLANK(S15),"",VLOOKUP(S15,'[1]plan_gier'!$X:$AN,17,FALSE))</f>
        <v>0</v>
      </c>
      <c r="AN15" s="78">
        <f t="shared" si="1"/>
        <v>21</v>
      </c>
      <c r="AO15" s="75">
        <f t="shared" si="1"/>
        <v>6</v>
      </c>
      <c r="AP15" s="75">
        <f t="shared" si="1"/>
        <v>21</v>
      </c>
      <c r="AQ15" s="75">
        <f t="shared" si="1"/>
        <v>8</v>
      </c>
      <c r="AR15" s="75">
        <f t="shared" si="1"/>
        <v>0</v>
      </c>
      <c r="AS15" s="80">
        <f t="shared" si="1"/>
        <v>0</v>
      </c>
      <c r="AT15" s="48">
        <f t="shared" si="2"/>
        <v>56</v>
      </c>
    </row>
    <row r="16" spans="1:46" ht="11.25" customHeight="1" thickBot="1">
      <c r="A16" s="2"/>
      <c r="J16" s="31"/>
      <c r="K16" s="31"/>
      <c r="L16" s="31"/>
      <c r="O16" s="31"/>
      <c r="P16" s="31"/>
      <c r="Q16" s="2"/>
      <c r="R16" s="2"/>
      <c r="S16" s="2"/>
      <c r="T16" s="232">
        <v>4</v>
      </c>
      <c r="U16" s="233">
        <f>IF(AND(N17&lt;&gt;"",N18&lt;&gt;""),CONCATENATE(VLOOKUP(N17,'[1]zawodnicy'!$A:$E,1,FALSE)," ",VLOOKUP(N17,'[1]zawodnicy'!$A:$E,2,FALSE)," ",VLOOKUP(N17,'[1]zawodnicy'!$A:$E,3,FALSE)," - ",VLOOKUP(N17,'[1]zawodnicy'!$A:$E,4,FALSE)),"")</f>
      </c>
      <c r="V16" s="233"/>
      <c r="W16" s="39" t="str">
        <f>IF(SUM(AN12:AO12)=0,"",AO12&amp;":"&amp;AN12)</f>
        <v>12:21</v>
      </c>
      <c r="X16" s="41" t="str">
        <f>IF(SUM(AN11:AO11)=0,"",AO11&amp;":"&amp;AN11)</f>
        <v>20:22</v>
      </c>
      <c r="Y16" s="41" t="str">
        <f>IF(SUM(AN14:AO14)=0,"",AO14&amp;":"&amp;AN14)</f>
        <v>21:19</v>
      </c>
      <c r="Z16" s="83"/>
      <c r="AA16" s="232" t="str">
        <f>IF(SUM(AV13:BA13)=0,"",BD13&amp;":"&amp;BE13)</f>
        <v>142:142</v>
      </c>
      <c r="AB16" s="234" t="str">
        <f>IF(SUM(AV13:BA13)=0,"",BF13&amp;":"&amp;BG13)</f>
        <v>4:4</v>
      </c>
      <c r="AC16" s="234" t="str">
        <f>IF(SUM(AV13:BA13)=0,"",BH13&amp;":"&amp;BI13)</f>
        <v>2:1</v>
      </c>
      <c r="AD16" s="227">
        <f>IF(SUM(BH10:BH13)&gt;0,BJ13,"")</f>
        <v>2</v>
      </c>
      <c r="AE16" s="24"/>
      <c r="AF16" s="24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63" ht="11.25" customHeight="1" thickBot="1">
      <c r="A17" s="11"/>
      <c r="B17" s="11"/>
      <c r="C17" s="11"/>
      <c r="D17" s="11"/>
      <c r="E17" s="11"/>
      <c r="J17" s="11"/>
      <c r="K17" s="11"/>
      <c r="L17" s="11"/>
      <c r="N17" s="29" t="s">
        <v>23</v>
      </c>
      <c r="O17" s="30">
        <f>IF(O6&gt;0,(O6&amp;4)*1,"")</f>
        <v>14</v>
      </c>
      <c r="Q17" s="10"/>
      <c r="R17" s="10"/>
      <c r="S17" s="84"/>
      <c r="T17" s="232"/>
      <c r="U17" s="228" t="str">
        <f>IF(AND(N17&lt;&gt;"",N18=""),CONCATENATE(VLOOKUP(N17,'[1]zawodnicy'!$A:$E,1,FALSE)," ",VLOOKUP(N17,'[1]zawodnicy'!$A:$E,2,FALSE)," ",VLOOKUP(N17,'[1]zawodnicy'!$A:$E,3,FALSE)," - ",VLOOKUP(N17,'[1]zawodnicy'!$A:$E,4,FALSE)),"")</f>
        <v>W0013 Olaf WARNECKI - Rzeszów</v>
      </c>
      <c r="V17" s="228"/>
      <c r="W17" s="56" t="str">
        <f>IF(SUM(AP12:AQ12)=0,"",AQ12&amp;":"&amp;AP12)</f>
        <v>5:21</v>
      </c>
      <c r="X17" s="27" t="str">
        <f>IF(SUM(AP11:AQ11)=0,"",AQ11&amp;":"&amp;AP11)</f>
        <v>21:10</v>
      </c>
      <c r="Y17" s="27" t="str">
        <f>IF(SUM(AP14:AQ14)=0,"",AQ14&amp;":"&amp;AP14)</f>
        <v>21:23</v>
      </c>
      <c r="Z17" s="85"/>
      <c r="AA17" s="232"/>
      <c r="AB17" s="234"/>
      <c r="AC17" s="234"/>
      <c r="AD17" s="227"/>
      <c r="AE17" s="24"/>
      <c r="AF17" s="24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1.25" customHeight="1" thickBot="1">
      <c r="A18" s="2"/>
      <c r="J18" s="31"/>
      <c r="K18" s="31"/>
      <c r="L18" s="31"/>
      <c r="N18" s="32"/>
      <c r="O18" s="31"/>
      <c r="P18" s="31"/>
      <c r="Q18" s="2"/>
      <c r="R18" s="2"/>
      <c r="S18" s="2"/>
      <c r="T18" s="232"/>
      <c r="U18" s="229">
        <f>IF(N18&lt;&gt;"",CONCATENATE(VLOOKUP(N18,'[1]zawodnicy'!$A:$E,1,FALSE)," ",VLOOKUP(N18,'[1]zawodnicy'!$A:$E,2,FALSE)," ",VLOOKUP(N18,'[1]zawodnicy'!$A:$E,3,FALSE)," - ",VLOOKUP(N18,'[1]zawodnicy'!$A:$E,4,FALSE)),"")</f>
      </c>
      <c r="V18" s="229"/>
      <c r="W18" s="86">
        <f>IF(SUM(AR12:AS12)=0,"",AS12&amp;":"&amp;AR12)</f>
      </c>
      <c r="X18" s="87" t="str">
        <f>IF(SUM(AR11:AS11)=0,"",AS11&amp;":"&amp;AR11)</f>
        <v>21:14</v>
      </c>
      <c r="Y18" s="87" t="str">
        <f>IF(SUM(AR14:AS14)=0,"",AS14&amp;":"&amp;AR14)</f>
        <v>21:12</v>
      </c>
      <c r="Z18" s="88"/>
      <c r="AA18" s="232"/>
      <c r="AB18" s="234"/>
      <c r="AC18" s="234"/>
      <c r="AD18" s="227"/>
      <c r="AE18" s="24"/>
      <c r="AF18" s="24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0:63" ht="12" customHeight="1" thickBot="1">
      <c r="J19" s="3"/>
      <c r="K19" s="3"/>
      <c r="L19" s="3"/>
      <c r="N19" s="4"/>
      <c r="O19" s="3"/>
      <c r="P19" s="3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6"/>
    </row>
    <row r="20" spans="14:32" ht="11.25" customHeight="1" thickBot="1">
      <c r="N20" s="7"/>
      <c r="O20" s="14">
        <v>2</v>
      </c>
      <c r="Q20" s="245" t="str">
        <f>"Grupa "&amp;O20&amp;"."</f>
        <v>Grupa 2.</v>
      </c>
      <c r="R20" s="245"/>
      <c r="S20" s="245"/>
      <c r="T20" s="15" t="s">
        <v>1</v>
      </c>
      <c r="U20" s="246" t="s">
        <v>2</v>
      </c>
      <c r="V20" s="246"/>
      <c r="W20" s="15">
        <v>1</v>
      </c>
      <c r="X20" s="18">
        <v>2</v>
      </c>
      <c r="Y20" s="16">
        <v>3</v>
      </c>
      <c r="Z20" s="89" t="s">
        <v>3</v>
      </c>
      <c r="AA20" s="22" t="s">
        <v>4</v>
      </c>
      <c r="AB20" s="22" t="s">
        <v>5</v>
      </c>
      <c r="AC20" s="90" t="s">
        <v>6</v>
      </c>
      <c r="AD20" s="2"/>
      <c r="AE20" s="24"/>
      <c r="AF20" s="24"/>
    </row>
    <row r="21" spans="10:45" ht="11.25" customHeight="1" thickBot="1">
      <c r="J21" s="31"/>
      <c r="K21" s="31"/>
      <c r="L21" s="31"/>
      <c r="N21" s="25" t="s">
        <v>0</v>
      </c>
      <c r="Q21" s="247" t="s">
        <v>9</v>
      </c>
      <c r="R21" s="247"/>
      <c r="S21" s="248" t="s">
        <v>10</v>
      </c>
      <c r="T21" s="249">
        <v>1</v>
      </c>
      <c r="U21" s="250">
        <f>IF(AND(N22&lt;&gt;"",N23&lt;&gt;""),CONCATENATE(VLOOKUP(N22,'[1]zawodnicy'!$A:$E,1,FALSE)," ",VLOOKUP(N22,'[1]zawodnicy'!$A:$E,2,FALSE)," ",VLOOKUP(N22,'[1]zawodnicy'!$A:$E,3,FALSE)," - ",VLOOKUP(N22,'[1]zawodnicy'!$A:$E,4,FALSE)),"")</f>
      </c>
      <c r="V21" s="250"/>
      <c r="W21" s="91"/>
      <c r="X21" s="92" t="str">
        <f>IF(SUM(AN26:AO26)=0,"",AN26&amp;":"&amp;AO26)</f>
        <v>21:10</v>
      </c>
      <c r="Y21" s="93" t="str">
        <f>IF(SUM(AN24:AO24)=0,"",AN24&amp;":"&amp;AO24)</f>
        <v>21:19</v>
      </c>
      <c r="Z21" s="249" t="str">
        <f>IF(SUM(AX24:BA24)=0,"",BD24&amp;":"&amp;BE24)</f>
        <v>84:47</v>
      </c>
      <c r="AA21" s="242" t="str">
        <f>IF(SUM(AX24:BA24)=0,"",BF24&amp;":"&amp;BG24)</f>
        <v>4:0</v>
      </c>
      <c r="AB21" s="242" t="str">
        <f>IF(SUM(AX24:BA24)=0,"",BH24&amp;":"&amp;BI24)</f>
        <v>2:0</v>
      </c>
      <c r="AC21" s="243">
        <f>IF(SUM(BH24:BH26)&gt;0,BJ24,"")</f>
        <v>1</v>
      </c>
      <c r="AD21" s="2"/>
      <c r="AE21" s="24"/>
      <c r="AF21" s="24"/>
      <c r="AH21" s="244" t="s">
        <v>7</v>
      </c>
      <c r="AI21" s="244"/>
      <c r="AJ21" s="244"/>
      <c r="AK21" s="244"/>
      <c r="AL21" s="244"/>
      <c r="AM21" s="244"/>
      <c r="AN21" s="244" t="s">
        <v>8</v>
      </c>
      <c r="AO21" s="244"/>
      <c r="AP21" s="244"/>
      <c r="AQ21" s="244"/>
      <c r="AR21" s="244"/>
      <c r="AS21" s="244"/>
    </row>
    <row r="22" spans="9:59" ht="11.25" customHeight="1" thickBot="1">
      <c r="I22" s="2" t="str">
        <f>"1"&amp;O20&amp;N21</f>
        <v>12Beginners</v>
      </c>
      <c r="J22" s="2" t="str">
        <f>IF(AC21="","",IF(AC21=1,N22,IF(AC24=1,N25,IF(AC27=1,N28,""))))</f>
        <v>D0008</v>
      </c>
      <c r="K22" s="2">
        <f>IF(AC21="","",IF(AC21=1,N23,IF(AC24=1,N26,IF(AC27=1,N29,""))))</f>
        <v>0</v>
      </c>
      <c r="L22" s="2"/>
      <c r="N22" s="29" t="s">
        <v>24</v>
      </c>
      <c r="O22" s="30">
        <f>IF(O20&gt;0,(O20&amp;1)*1,"")</f>
        <v>21</v>
      </c>
      <c r="Q22" s="247"/>
      <c r="R22" s="247"/>
      <c r="S22" s="248"/>
      <c r="T22" s="249"/>
      <c r="U22" s="228" t="str">
        <f>IF(AND(N22&lt;&gt;"",N23=""),CONCATENATE(VLOOKUP(N22,'[1]zawodnicy'!$A:$E,1,FALSE)," ",VLOOKUP(N22,'[1]zawodnicy'!$A:$E,2,FALSE)," ",VLOOKUP(N22,'[1]zawodnicy'!$A:$E,3,FALSE)," - ",VLOOKUP(N22,'[1]zawodnicy'!$A:$E,4,FALSE)),"")</f>
        <v>D0008 Patrycja DOMAŃSKA - Rzeszów</v>
      </c>
      <c r="V22" s="228"/>
      <c r="W22" s="26"/>
      <c r="X22" s="27" t="str">
        <f>IF(SUM(AP26:AQ26)=0,"",AP26&amp;":"&amp;AQ26)</f>
        <v>21:3</v>
      </c>
      <c r="Y22" s="58" t="str">
        <f>IF(SUM(AP24:AQ24)=0,"",AP24&amp;":"&amp;AQ24)</f>
        <v>21:15</v>
      </c>
      <c r="Z22" s="249"/>
      <c r="AA22" s="242"/>
      <c r="AB22" s="242"/>
      <c r="AC22" s="243"/>
      <c r="AD22" s="2"/>
      <c r="AE22" s="24"/>
      <c r="AF22" s="24"/>
      <c r="BD22" s="11">
        <f>SUM(BD24:BD26)</f>
        <v>238</v>
      </c>
      <c r="BE22" s="11">
        <f>SUM(BE24:BE26)</f>
        <v>238</v>
      </c>
      <c r="BF22" s="11">
        <f>SUM(BF24:BF26)</f>
        <v>7</v>
      </c>
      <c r="BG22" s="11">
        <f>SUM(BG24:BG26)</f>
        <v>7</v>
      </c>
    </row>
    <row r="23" spans="10:63" ht="11.25" customHeight="1" thickBot="1">
      <c r="J23" s="2"/>
      <c r="K23" s="31"/>
      <c r="L23" s="31"/>
      <c r="N23" s="32"/>
      <c r="O23" s="31"/>
      <c r="P23" s="31"/>
      <c r="Q23" s="247"/>
      <c r="R23" s="247"/>
      <c r="S23" s="248"/>
      <c r="T23" s="249"/>
      <c r="U23" s="231">
        <f>IF(N23&lt;&gt;"",CONCATENATE(VLOOKUP(N23,'[1]zawodnicy'!$A:$E,1,FALSE)," ",VLOOKUP(N23,'[1]zawodnicy'!$A:$E,2,FALSE)," ",VLOOKUP(N23,'[1]zawodnicy'!$A:$E,3,FALSE)," - ",VLOOKUP(N23,'[1]zawodnicy'!$A:$E,4,FALSE)),"")</f>
      </c>
      <c r="V23" s="231"/>
      <c r="W23" s="26"/>
      <c r="X23" s="33">
        <f>IF(SUM(AR26:AS26)=0,"",AR26&amp;":"&amp;AS26)</f>
      </c>
      <c r="Y23" s="68">
        <f>IF(SUM(AR24:AS24)=0,"",AR24&amp;":"&amp;AS24)</f>
      </c>
      <c r="Z23" s="249"/>
      <c r="AA23" s="242"/>
      <c r="AB23" s="242"/>
      <c r="AC23" s="243"/>
      <c r="AD23" s="2"/>
      <c r="AE23" s="24"/>
      <c r="AF23" s="24"/>
      <c r="AH23" s="239" t="s">
        <v>12</v>
      </c>
      <c r="AI23" s="239"/>
      <c r="AJ23" s="240" t="s">
        <v>13</v>
      </c>
      <c r="AK23" s="240"/>
      <c r="AL23" s="241" t="s">
        <v>14</v>
      </c>
      <c r="AM23" s="241"/>
      <c r="AN23" s="239" t="s">
        <v>12</v>
      </c>
      <c r="AO23" s="239"/>
      <c r="AP23" s="240" t="s">
        <v>13</v>
      </c>
      <c r="AQ23" s="240"/>
      <c r="AR23" s="240" t="s">
        <v>14</v>
      </c>
      <c r="AS23" s="240"/>
      <c r="AT23" s="24"/>
      <c r="AU23" s="24"/>
      <c r="AV23" s="239">
        <v>1</v>
      </c>
      <c r="AW23" s="239"/>
      <c r="AX23" s="240">
        <v>2</v>
      </c>
      <c r="AY23" s="240"/>
      <c r="AZ23" s="241">
        <v>3</v>
      </c>
      <c r="BA23" s="241"/>
      <c r="BD23" s="235" t="s">
        <v>3</v>
      </c>
      <c r="BE23" s="235"/>
      <c r="BF23" s="235" t="s">
        <v>4</v>
      </c>
      <c r="BG23" s="235"/>
      <c r="BH23" s="235" t="s">
        <v>5</v>
      </c>
      <c r="BI23" s="235"/>
      <c r="BJ23" s="35" t="s">
        <v>6</v>
      </c>
      <c r="BK23" s="12">
        <f>SUM(BK24:BK26)</f>
        <v>0</v>
      </c>
    </row>
    <row r="24" spans="1:63" ht="11.25" customHeight="1">
      <c r="A24" s="11">
        <f>S24</f>
        <v>3</v>
      </c>
      <c r="B24" s="2" t="str">
        <f>IF(N22="","",N22)</f>
        <v>D0008</v>
      </c>
      <c r="C24" s="2">
        <f>IF(N23="","",N23)</f>
      </c>
      <c r="D24" s="2" t="str">
        <f>IF(N28="","",N28)</f>
        <v>G0014</v>
      </c>
      <c r="E24" s="2">
        <f>IF(N29="","",N29)</f>
      </c>
      <c r="I24" s="2" t="str">
        <f>"2"&amp;O20&amp;N21</f>
        <v>22Beginners</v>
      </c>
      <c r="J24" s="2" t="str">
        <f>IF(AC24="","",IF(AC21=2,N22,IF(AC24=2,N25,IF(AC27=2,N28,""))))</f>
        <v>S0033</v>
      </c>
      <c r="K24" s="2">
        <f>IF(AC24="","",IF(AC21=2,N23,IF(AC24=2,N26,IF(AC27=2,N29,""))))</f>
        <v>0</v>
      </c>
      <c r="M24" s="2" t="str">
        <f>N21</f>
        <v>Beginners</v>
      </c>
      <c r="O24" s="31"/>
      <c r="P24" s="31"/>
      <c r="Q24" s="36">
        <f>IF(AT24&gt;0,"",IF(A24=0,"",IF(VLOOKUP(A24,'[1]plan_gier'!A:S,19,FALSE)="","",VLOOKUP(A24,'[1]plan_gier'!A:S,19,FALSE))))</f>
      </c>
      <c r="R24" s="37" t="s">
        <v>15</v>
      </c>
      <c r="S24" s="84">
        <v>3</v>
      </c>
      <c r="T24" s="236">
        <v>2</v>
      </c>
      <c r="U24" s="233">
        <f>IF(AND(N25&lt;&gt;"",N26&lt;&gt;""),CONCATENATE(VLOOKUP(N25,'[1]zawodnicy'!$A:$E,1,FALSE)," ",VLOOKUP(N25,'[1]zawodnicy'!$A:$E,2,FALSE)," ",VLOOKUP(N25,'[1]zawodnicy'!$A:$E,3,FALSE)," - ",VLOOKUP(N25,'[1]zawodnicy'!$A:$E,4,FALSE)),"")</f>
      </c>
      <c r="V24" s="233"/>
      <c r="W24" s="39" t="str">
        <f>IF(SUM(AN26:AO26)=0,"",AO26&amp;":"&amp;AN26)</f>
        <v>10:21</v>
      </c>
      <c r="X24" s="72"/>
      <c r="Y24" s="42" t="str">
        <f>IF(SUM(AN25:AO25)=0,"",AN25&amp;":"&amp;AO25)</f>
        <v>14:21</v>
      </c>
      <c r="Z24" s="236" t="str">
        <f>IF(SUM(AV25:AW25,AZ25:BA25)=0,"",BD25&amp;":"&amp;BE25)</f>
        <v>69:93</v>
      </c>
      <c r="AA24" s="237" t="str">
        <f>IF(SUM(AV25:AW25,AZ25:BA25)=0,"",BF25&amp;":"&amp;BG25)</f>
        <v>2:3</v>
      </c>
      <c r="AB24" s="237" t="str">
        <f>IF(SUM(AV25:AW25,AZ25:BA25)=0,"",BH25&amp;":"&amp;BI25)</f>
        <v>1:1</v>
      </c>
      <c r="AC24" s="238">
        <f>IF(SUM(BH24:BH26)&gt;0,BJ25,"")</f>
        <v>2</v>
      </c>
      <c r="AD24" s="2"/>
      <c r="AE24" s="24"/>
      <c r="AF24" s="24"/>
      <c r="AG24" s="37" t="s">
        <v>15</v>
      </c>
      <c r="AH24" s="45">
        <f>IF(ISBLANK(S24),"",VLOOKUP(S24,'[1]plan_gier'!$X:$AN,12,FALSE))</f>
        <v>21</v>
      </c>
      <c r="AI24" s="46">
        <f>IF(ISBLANK(S24),"",VLOOKUP(S24,'[1]plan_gier'!$X:$AN,13,FALSE))</f>
        <v>19</v>
      </c>
      <c r="AJ24" s="46">
        <f>IF(ISBLANK(S24),"",VLOOKUP(S24,'[1]plan_gier'!$X:$AN,14,FALSE))</f>
        <v>21</v>
      </c>
      <c r="AK24" s="46">
        <f>IF(ISBLANK(S24),"",VLOOKUP(S24,'[1]plan_gier'!$X:$AN,15,FALSE))</f>
        <v>15</v>
      </c>
      <c r="AL24" s="46">
        <f>IF(ISBLANK(S24),"",VLOOKUP(S24,'[1]plan_gier'!$X:$AN,16,FALSE))</f>
        <v>0</v>
      </c>
      <c r="AM24" s="46">
        <f>IF(ISBLANK(S24),"",VLOOKUP(S24,'[1]plan_gier'!$X:$AN,17,FALSE))</f>
        <v>0</v>
      </c>
      <c r="AN24" s="94">
        <f aca="true" t="shared" si="4" ref="AN24:AS26">IF(AH24="",0,AH24)</f>
        <v>21</v>
      </c>
      <c r="AO24" s="44">
        <f t="shared" si="4"/>
        <v>19</v>
      </c>
      <c r="AP24" s="95">
        <f t="shared" si="4"/>
        <v>21</v>
      </c>
      <c r="AQ24" s="44">
        <f t="shared" si="4"/>
        <v>15</v>
      </c>
      <c r="AR24" s="95">
        <f t="shared" si="4"/>
        <v>0</v>
      </c>
      <c r="AS24" s="44">
        <f t="shared" si="4"/>
        <v>0</v>
      </c>
      <c r="AT24" s="48">
        <f>SUM(AN24:AS24)</f>
        <v>76</v>
      </c>
      <c r="AU24" s="49">
        <v>1</v>
      </c>
      <c r="AV24" s="96"/>
      <c r="AW24" s="97"/>
      <c r="AX24" s="46">
        <f>IF(AH26&gt;AI26,1,0)+IF(AJ26&gt;AK26,1,0)+IF(AL26&gt;AM26,1,0)</f>
        <v>2</v>
      </c>
      <c r="AY24" s="46">
        <f>AV25</f>
        <v>0</v>
      </c>
      <c r="AZ24" s="46">
        <f>IF(AH24&gt;AI24,1,0)+IF(AJ24&gt;AK24,1,0)+IF(AL24&gt;AM24,1,0)</f>
        <v>2</v>
      </c>
      <c r="BA24" s="47">
        <f>AV26</f>
        <v>0</v>
      </c>
      <c r="BD24" s="45">
        <f>AN24+AP24+AR24+AN26+AP26+AR26</f>
        <v>84</v>
      </c>
      <c r="BE24" s="47">
        <f>AO24+AQ24+AS24+AO26+AQ26+AS26</f>
        <v>47</v>
      </c>
      <c r="BF24" s="45">
        <f>AX24+AZ24</f>
        <v>4</v>
      </c>
      <c r="BG24" s="47">
        <f>AY24+BA24</f>
        <v>0</v>
      </c>
      <c r="BH24" s="45">
        <f>IF(AX24&gt;AY24,1,0)+IF(AZ24&gt;BA24,1,0)</f>
        <v>2</v>
      </c>
      <c r="BI24" s="51">
        <f>IF(AY24&gt;AX24,1,0)+IF(BA24&gt;AZ24,1,0)</f>
        <v>0</v>
      </c>
      <c r="BJ24" s="98">
        <f>IF(BH24+BI24=0,"",IF(BK24=MAX(BK24:BK26),1,IF(BK24=MIN(BK24:BK26),3,2)))</f>
        <v>1</v>
      </c>
      <c r="BK24" s="12">
        <f>IF(BH24+BI24&lt;&gt;0,BH24-BI24+(BF24-BG24)/100+(BD24-BE24)/10000,-2)</f>
        <v>2.0437</v>
      </c>
    </row>
    <row r="25" spans="1:63" ht="11.25" customHeight="1">
      <c r="A25" s="11">
        <f>S25</f>
        <v>8</v>
      </c>
      <c r="B25" s="2" t="str">
        <f>IF(N25="","",N25)</f>
        <v>S0033</v>
      </c>
      <c r="C25" s="2">
        <f>IF(N26="","",N26)</f>
      </c>
      <c r="D25" s="2" t="str">
        <f>IF(N28="","",N28)</f>
        <v>G0014</v>
      </c>
      <c r="E25" s="2">
        <f>IF(N29="","",N29)</f>
      </c>
      <c r="J25" s="2"/>
      <c r="K25" s="11"/>
      <c r="M25" s="2" t="str">
        <f>N21</f>
        <v>Beginners</v>
      </c>
      <c r="N25" s="29" t="s">
        <v>25</v>
      </c>
      <c r="O25" s="30">
        <f>IF(O20&gt;0,(O20&amp;2)*1,"")</f>
        <v>22</v>
      </c>
      <c r="Q25" s="36">
        <f>IF(AT25&gt;0,"",IF(A25=0,"",IF(VLOOKUP(A25,'[1]plan_gier'!A:S,19,FALSE)="","",VLOOKUP(A25,'[1]plan_gier'!A:S,19,FALSE))))</f>
      </c>
      <c r="R25" s="37" t="s">
        <v>19</v>
      </c>
      <c r="S25" s="84">
        <v>8</v>
      </c>
      <c r="T25" s="236"/>
      <c r="U25" s="228" t="str">
        <f>IF(AND(N25&lt;&gt;"",N26=""),CONCATENATE(VLOOKUP(N25,'[1]zawodnicy'!$A:$E,1,FALSE)," ",VLOOKUP(N25,'[1]zawodnicy'!$A:$E,2,FALSE)," ",VLOOKUP(N25,'[1]zawodnicy'!$A:$E,3,FALSE)," - ",VLOOKUP(N25,'[1]zawodnicy'!$A:$E,4,FALSE)),"")</f>
        <v>S0033 Mikołaj STRAŻ - Mielec</v>
      </c>
      <c r="V25" s="228"/>
      <c r="W25" s="56" t="str">
        <f>IF(SUM(AP26:AQ26)=0,"",AQ26&amp;":"&amp;AP26)</f>
        <v>3:21</v>
      </c>
      <c r="X25" s="82"/>
      <c r="Y25" s="58" t="str">
        <f>IF(SUM(AP25:AQ25)=0,"",AP25&amp;":"&amp;AQ25)</f>
        <v>21:13</v>
      </c>
      <c r="Z25" s="236"/>
      <c r="AA25" s="237"/>
      <c r="AB25" s="237"/>
      <c r="AC25" s="238"/>
      <c r="AD25" s="2"/>
      <c r="AE25" s="24"/>
      <c r="AF25" s="24"/>
      <c r="AG25" s="37" t="s">
        <v>19</v>
      </c>
      <c r="AH25" s="59">
        <f>IF(ISBLANK(S25),"",VLOOKUP(S25,'[1]plan_gier'!$X:$AN,12,FALSE))</f>
        <v>14</v>
      </c>
      <c r="AI25" s="60">
        <f>IF(ISBLANK(S25),"",VLOOKUP(S25,'[1]plan_gier'!$X:$AN,13,FALSE))</f>
        <v>21</v>
      </c>
      <c r="AJ25" s="60">
        <f>IF(ISBLANK(S25),"",VLOOKUP(S25,'[1]plan_gier'!$X:$AN,14,FALSE))</f>
        <v>21</v>
      </c>
      <c r="AK25" s="60">
        <f>IF(ISBLANK(S25),"",VLOOKUP(S25,'[1]plan_gier'!$X:$AN,15,FALSE))</f>
        <v>13</v>
      </c>
      <c r="AL25" s="60">
        <f>IF(ISBLANK(S25),"",VLOOKUP(S25,'[1]plan_gier'!$X:$AN,16,FALSE))</f>
        <v>21</v>
      </c>
      <c r="AM25" s="60">
        <f>IF(ISBLANK(S25),"",VLOOKUP(S25,'[1]plan_gier'!$X:$AN,17,FALSE))</f>
        <v>17</v>
      </c>
      <c r="AN25" s="99">
        <f t="shared" si="4"/>
        <v>14</v>
      </c>
      <c r="AO25" s="60">
        <f t="shared" si="4"/>
        <v>21</v>
      </c>
      <c r="AP25" s="100">
        <f t="shared" si="4"/>
        <v>21</v>
      </c>
      <c r="AQ25" s="60">
        <f t="shared" si="4"/>
        <v>13</v>
      </c>
      <c r="AR25" s="100">
        <f t="shared" si="4"/>
        <v>21</v>
      </c>
      <c r="AS25" s="60">
        <f t="shared" si="4"/>
        <v>17</v>
      </c>
      <c r="AT25" s="48">
        <f>SUM(AN25:AS25)</f>
        <v>107</v>
      </c>
      <c r="AU25" s="49">
        <v>2</v>
      </c>
      <c r="AV25" s="59">
        <f>IF(AH26&lt;AI26,1,0)+IF(AJ26&lt;AK26,1,0)+IF(AL26&lt;AM26,1,0)</f>
        <v>0</v>
      </c>
      <c r="AW25" s="60">
        <f>AX24</f>
        <v>2</v>
      </c>
      <c r="AX25" s="101"/>
      <c r="AY25" s="102"/>
      <c r="AZ25" s="60">
        <f>IF(AH25&gt;AI25,1,0)+IF(AJ25&gt;AK25,1,0)+IF(AL25&gt;AM25,1,0)</f>
        <v>2</v>
      </c>
      <c r="BA25" s="61">
        <f>AX26</f>
        <v>1</v>
      </c>
      <c r="BD25" s="59">
        <f>AN25+AP25+AR25+AO26+AQ26+AS26</f>
        <v>69</v>
      </c>
      <c r="BE25" s="61">
        <f>AO25+AQ25+AS25+AN26+AP26+AR26</f>
        <v>93</v>
      </c>
      <c r="BF25" s="59">
        <f>AV25+AZ25</f>
        <v>2</v>
      </c>
      <c r="BG25" s="61">
        <f>AW25+BA25</f>
        <v>3</v>
      </c>
      <c r="BH25" s="59">
        <f>IF(AV25&gt;AW25,1,0)+IF(AZ25&gt;BA25,1,0)</f>
        <v>1</v>
      </c>
      <c r="BI25" s="65">
        <f>IF(AW25&gt;AV25,1,0)+IF(BA25&gt;AZ25,1,0)</f>
        <v>1</v>
      </c>
      <c r="BJ25" s="66">
        <f>IF(BH25+BI25=0,"",IF(BK25=MAX(BK24:BK26),1,IF(BK25=MIN(BK24:BK26),3,2)))</f>
        <v>2</v>
      </c>
      <c r="BK25" s="12">
        <f>IF(BH25+BI25&lt;&gt;0,BH25-BI25+(BF25-BG25)/100+(BD25-BE25)/10000,-2)</f>
        <v>-0.0124</v>
      </c>
    </row>
    <row r="26" spans="1:63" ht="11.25" customHeight="1" thickBot="1">
      <c r="A26" s="11">
        <f>S26</f>
        <v>13</v>
      </c>
      <c r="B26" s="2" t="str">
        <f>IF(N22="","",N22)</f>
        <v>D0008</v>
      </c>
      <c r="C26" s="2">
        <f>IF(N23="","",N23)</f>
      </c>
      <c r="D26" s="2" t="str">
        <f>IF(N25="","",N25)</f>
        <v>S0033</v>
      </c>
      <c r="E26" s="2">
        <f>IF(N26="","",N26)</f>
      </c>
      <c r="I26" s="2" t="str">
        <f>"3"&amp;O20&amp;N21</f>
        <v>32Beginners</v>
      </c>
      <c r="J26" s="2" t="str">
        <f>IF(AC27="","",IF(AC21=3,N22,IF(AC24=3,N25,IF(AC27=3,N28,""))))</f>
        <v>G0014</v>
      </c>
      <c r="K26" s="2">
        <f>IF(AC27="","",IF(AC21=3,N23,IF(AC24=3,N26,IF(AC27=3,N29,""))))</f>
        <v>0</v>
      </c>
      <c r="M26" s="2" t="str">
        <f>N21</f>
        <v>Beginners</v>
      </c>
      <c r="N26" s="32"/>
      <c r="O26" s="31"/>
      <c r="P26" s="31"/>
      <c r="Q26" s="36">
        <f>IF(AT26&gt;0,"",IF(A26=0,"",IF(VLOOKUP(A26,'[1]plan_gier'!A:S,19,FALSE)="","",VLOOKUP(A26,'[1]plan_gier'!A:S,19,FALSE))))</f>
      </c>
      <c r="R26" s="37" t="s">
        <v>22</v>
      </c>
      <c r="S26" s="84">
        <v>13</v>
      </c>
      <c r="T26" s="236"/>
      <c r="U26" s="231">
        <f>IF(N26&lt;&gt;"",CONCATENATE(VLOOKUP(N26,'[1]zawodnicy'!$A:$E,1,FALSE)," ",VLOOKUP(N26,'[1]zawodnicy'!$A:$E,2,FALSE)," ",VLOOKUP(N26,'[1]zawodnicy'!$A:$E,3,FALSE)," - ",VLOOKUP(N26,'[1]zawodnicy'!$A:$E,4,FALSE)),"")</f>
      </c>
      <c r="V26" s="231"/>
      <c r="W26" s="67">
        <f>IF(SUM(AR26:AS26)=0,"",AS26&amp;":"&amp;AR26)</f>
      </c>
      <c r="X26" s="82"/>
      <c r="Y26" s="68" t="str">
        <f>IF(SUM(AR25:AS25)=0,"",AR25&amp;":"&amp;AS25)</f>
        <v>21:17</v>
      </c>
      <c r="Z26" s="236"/>
      <c r="AA26" s="237"/>
      <c r="AB26" s="237"/>
      <c r="AC26" s="238"/>
      <c r="AD26" s="2"/>
      <c r="AE26" s="24"/>
      <c r="AF26" s="24"/>
      <c r="AG26" s="37" t="s">
        <v>22</v>
      </c>
      <c r="AH26" s="78">
        <f>IF(ISBLANK(S26),"",VLOOKUP(S26,'[1]plan_gier'!$X:$AN,12,FALSE))</f>
        <v>21</v>
      </c>
      <c r="AI26" s="75">
        <f>IF(ISBLANK(S26),"",VLOOKUP(S26,'[1]plan_gier'!$X:$AN,13,FALSE))</f>
        <v>10</v>
      </c>
      <c r="AJ26" s="75">
        <f>IF(ISBLANK(S26),"",VLOOKUP(S26,'[1]plan_gier'!$X:$AN,14,FALSE))</f>
        <v>21</v>
      </c>
      <c r="AK26" s="75">
        <f>IF(ISBLANK(S26),"",VLOOKUP(S26,'[1]plan_gier'!$X:$AN,15,FALSE))</f>
        <v>3</v>
      </c>
      <c r="AL26" s="75">
        <f>IF(ISBLANK(S26),"",VLOOKUP(S26,'[1]plan_gier'!$X:$AN,16,FALSE))</f>
        <v>0</v>
      </c>
      <c r="AM26" s="75">
        <f>IF(ISBLANK(S26),"",VLOOKUP(S26,'[1]plan_gier'!$X:$AN,17,FALSE))</f>
        <v>0</v>
      </c>
      <c r="AN26" s="103">
        <f t="shared" si="4"/>
        <v>21</v>
      </c>
      <c r="AO26" s="75">
        <f t="shared" si="4"/>
        <v>10</v>
      </c>
      <c r="AP26" s="104">
        <f t="shared" si="4"/>
        <v>21</v>
      </c>
      <c r="AQ26" s="75">
        <f t="shared" si="4"/>
        <v>3</v>
      </c>
      <c r="AR26" s="104">
        <f t="shared" si="4"/>
        <v>0</v>
      </c>
      <c r="AS26" s="75">
        <f t="shared" si="4"/>
        <v>0</v>
      </c>
      <c r="AT26" s="48">
        <f>SUM(AN26:AS26)</f>
        <v>55</v>
      </c>
      <c r="AU26" s="49">
        <v>3</v>
      </c>
      <c r="AV26" s="78">
        <f>IF(AH24&lt;AI24,1,0)+IF(AJ24&lt;AK24,1,0)+IF(AL24&lt;AM24,1,0)</f>
        <v>0</v>
      </c>
      <c r="AW26" s="75">
        <f>AZ24</f>
        <v>2</v>
      </c>
      <c r="AX26" s="75">
        <f>IF(AH25&lt;AI25,1,0)+IF(AJ25&lt;AK25,1,0)+IF(AL25&lt;AM25,1,0)</f>
        <v>1</v>
      </c>
      <c r="AY26" s="75">
        <f>AZ25</f>
        <v>2</v>
      </c>
      <c r="AZ26" s="105"/>
      <c r="BA26" s="106"/>
      <c r="BD26" s="78">
        <f>AO24+AQ24+AS24+AO25+AQ25+AS25</f>
        <v>85</v>
      </c>
      <c r="BE26" s="80">
        <f>AN24+AP24+AR24+AN25+AP25+AR25</f>
        <v>98</v>
      </c>
      <c r="BF26" s="78">
        <f>AV26+AX26</f>
        <v>1</v>
      </c>
      <c r="BG26" s="80">
        <f>AW26+AY26</f>
        <v>4</v>
      </c>
      <c r="BH26" s="78">
        <f>IF(AV26&gt;AW26,1,0)+IF(AX26&gt;AY26,1,0)</f>
        <v>0</v>
      </c>
      <c r="BI26" s="79">
        <f>IF(AW26&gt;AV26,1,0)+IF(AY26&gt;AX26,1,0)</f>
        <v>2</v>
      </c>
      <c r="BJ26" s="81">
        <f>IF(BH26+BI26=0,"",IF(BK26=MAX(BK24:BK26),1,IF(BK26=MIN(BK24:BK26),3,2)))</f>
        <v>3</v>
      </c>
      <c r="BK26" s="12">
        <f>IF(BH26+BI26&lt;&gt;0,BH26-BI26+(BF26-BG26)/100+(BD26-BE26)/10000,-2)</f>
        <v>-2.0313</v>
      </c>
    </row>
    <row r="27" spans="1:59" ht="11.25" customHeight="1" thickBot="1">
      <c r="A27" s="2"/>
      <c r="J27" s="31"/>
      <c r="K27" s="31"/>
      <c r="L27" s="31"/>
      <c r="O27" s="31"/>
      <c r="P27" s="31"/>
      <c r="Q27" s="2"/>
      <c r="R27" s="2"/>
      <c r="S27" s="2"/>
      <c r="T27" s="232">
        <v>3</v>
      </c>
      <c r="U27" s="233">
        <f>IF(AND(N28&lt;&gt;"",N29&lt;&gt;""),CONCATENATE(VLOOKUP(N28,'[1]zawodnicy'!$A:$E,1,FALSE)," ",VLOOKUP(N28,'[1]zawodnicy'!$A:$E,2,FALSE)," ",VLOOKUP(N28,'[1]zawodnicy'!$A:$E,3,FALSE)," - ",VLOOKUP(N28,'[1]zawodnicy'!$A:$E,4,FALSE)),"")</f>
      </c>
      <c r="V27" s="233"/>
      <c r="W27" s="39" t="str">
        <f>IF(SUM(AN24:AO24)=0,"",AO24&amp;":"&amp;AN24)</f>
        <v>19:21</v>
      </c>
      <c r="X27" s="41" t="str">
        <f>IF(SUM(AN25:AO25)=0,"",AO25&amp;":"&amp;AN25)</f>
        <v>21:14</v>
      </c>
      <c r="Y27" s="107"/>
      <c r="Z27" s="232" t="str">
        <f>IF(SUM(AV26:AY26)=0,"",BD26&amp;":"&amp;BE26)</f>
        <v>85:98</v>
      </c>
      <c r="AA27" s="234" t="str">
        <f>IF(SUM(AV26:AY26)=0,"",BF26&amp;":"&amp;BG26)</f>
        <v>1:4</v>
      </c>
      <c r="AB27" s="234" t="str">
        <f>IF(SUM(AV26:AY26)=0,"",BH26&amp;":"&amp;BI26)</f>
        <v>0:2</v>
      </c>
      <c r="AC27" s="227">
        <f>IF(SUM(BH24:BH26)&gt;0,BJ26,"")</f>
        <v>3</v>
      </c>
      <c r="AD27" s="2"/>
      <c r="AE27" s="24"/>
      <c r="AF27" s="24"/>
      <c r="BD27" s="11">
        <f>SUM(BD24:BD26)</f>
        <v>238</v>
      </c>
      <c r="BE27" s="11">
        <f>SUM(BE24:BE26)</f>
        <v>238</v>
      </c>
      <c r="BF27" s="11">
        <f>SUM(BF24:BF26)</f>
        <v>7</v>
      </c>
      <c r="BG27" s="11">
        <f>SUM(BG24:BG26)</f>
        <v>7</v>
      </c>
    </row>
    <row r="28" spans="1:63" ht="11.25" customHeight="1" thickBot="1">
      <c r="A28" s="11"/>
      <c r="J28" s="11"/>
      <c r="K28" s="11"/>
      <c r="L28" s="11"/>
      <c r="N28" s="29" t="s">
        <v>26</v>
      </c>
      <c r="O28" s="30">
        <f>IF(O20&gt;0,(O20&amp;3)*1,"")</f>
        <v>23</v>
      </c>
      <c r="Q28" s="10"/>
      <c r="R28" s="10"/>
      <c r="S28" s="84"/>
      <c r="T28" s="232"/>
      <c r="U28" s="228" t="str">
        <f>IF(AND(N28&lt;&gt;"",N29=""),CONCATENATE(VLOOKUP(N28,'[1]zawodnicy'!$A:$E,1,FALSE)," ",VLOOKUP(N28,'[1]zawodnicy'!$A:$E,2,FALSE)," ",VLOOKUP(N28,'[1]zawodnicy'!$A:$E,3,FALSE)," - ",VLOOKUP(N28,'[1]zawodnicy'!$A:$E,4,FALSE)),"")</f>
        <v>G0014 Eryk GŁOWACKI - Tarnowiec</v>
      </c>
      <c r="V28" s="228"/>
      <c r="W28" s="56" t="str">
        <f>IF(SUM(AP24:AQ24)=0,"",AQ24&amp;":"&amp;AP24)</f>
        <v>15:21</v>
      </c>
      <c r="X28" s="27" t="str">
        <f>IF(SUM(AP25:AQ25)=0,"",AQ25&amp;":"&amp;AP25)</f>
        <v>13:21</v>
      </c>
      <c r="Y28" s="108"/>
      <c r="Z28" s="232"/>
      <c r="AA28" s="234"/>
      <c r="AB28" s="234"/>
      <c r="AC28" s="227"/>
      <c r="AD28" s="2"/>
      <c r="AE28" s="24"/>
      <c r="AF28" s="24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1.25" customHeight="1" thickBot="1">
      <c r="A29" s="2"/>
      <c r="J29" s="31"/>
      <c r="K29" s="31"/>
      <c r="L29" s="31"/>
      <c r="N29" s="32"/>
      <c r="O29" s="31"/>
      <c r="P29" s="31"/>
      <c r="Q29" s="2"/>
      <c r="R29" s="2"/>
      <c r="S29" s="2"/>
      <c r="T29" s="232"/>
      <c r="U29" s="229">
        <f>IF(N29&lt;&gt;"",CONCATENATE(VLOOKUP(N29,'[1]zawodnicy'!$A:$E,1,FALSE)," ",VLOOKUP(N29,'[1]zawodnicy'!$A:$E,2,FALSE)," ",VLOOKUP(N29,'[1]zawodnicy'!$A:$E,3,FALSE)," - ",VLOOKUP(N29,'[1]zawodnicy'!$A:$E,4,FALSE)),"")</f>
      </c>
      <c r="V29" s="229"/>
      <c r="W29" s="86">
        <f>IF(SUM(AR24:AS24)=0,"",AS24&amp;":"&amp;AR24)</f>
      </c>
      <c r="X29" s="87" t="str">
        <f>IF(SUM(AR25:AS25)=0,"",AS25&amp;":"&amp;AR25)</f>
        <v>17:21</v>
      </c>
      <c r="Y29" s="88"/>
      <c r="Z29" s="232"/>
      <c r="AA29" s="234"/>
      <c r="AB29" s="234"/>
      <c r="AC29" s="227"/>
      <c r="AD29" s="2"/>
      <c r="AE29" s="24"/>
      <c r="AF29" s="24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0:63" ht="12" customHeight="1" thickBot="1">
      <c r="J30" s="3"/>
      <c r="K30" s="3"/>
      <c r="L30" s="3"/>
      <c r="N30" s="4"/>
      <c r="O30" s="3"/>
      <c r="P30" s="3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6"/>
    </row>
    <row r="31" spans="14:32" ht="11.25" customHeight="1" thickBot="1">
      <c r="N31" s="7"/>
      <c r="O31" s="14">
        <v>3</v>
      </c>
      <c r="Q31" s="245" t="str">
        <f>"Grupa "&amp;O31&amp;"."</f>
        <v>Grupa 3.</v>
      </c>
      <c r="R31" s="245"/>
      <c r="S31" s="245"/>
      <c r="T31" s="15" t="s">
        <v>1</v>
      </c>
      <c r="U31" s="246" t="s">
        <v>2</v>
      </c>
      <c r="V31" s="246"/>
      <c r="W31" s="15">
        <v>1</v>
      </c>
      <c r="X31" s="18">
        <v>2</v>
      </c>
      <c r="Y31" s="16">
        <v>3</v>
      </c>
      <c r="Z31" s="89" t="s">
        <v>3</v>
      </c>
      <c r="AA31" s="22" t="s">
        <v>4</v>
      </c>
      <c r="AB31" s="22" t="s">
        <v>5</v>
      </c>
      <c r="AC31" s="90" t="s">
        <v>6</v>
      </c>
      <c r="AD31" s="2"/>
      <c r="AE31" s="24"/>
      <c r="AF31" s="24"/>
    </row>
    <row r="32" spans="10:45" ht="11.25" customHeight="1" thickBot="1">
      <c r="J32" s="31"/>
      <c r="K32" s="31"/>
      <c r="L32" s="31"/>
      <c r="N32" s="25" t="s">
        <v>0</v>
      </c>
      <c r="Q32" s="247" t="s">
        <v>9</v>
      </c>
      <c r="R32" s="247"/>
      <c r="S32" s="248" t="s">
        <v>10</v>
      </c>
      <c r="T32" s="249">
        <v>1</v>
      </c>
      <c r="U32" s="250">
        <f>IF(AND(N33&lt;&gt;"",N34&lt;&gt;""),CONCATENATE(VLOOKUP(N33,'[1]zawodnicy'!$A:$E,1,FALSE)," ",VLOOKUP(N33,'[1]zawodnicy'!$A:$E,2,FALSE)," ",VLOOKUP(N33,'[1]zawodnicy'!$A:$E,3,FALSE)," - ",VLOOKUP(N33,'[1]zawodnicy'!$A:$E,4,FALSE)),"")</f>
      </c>
      <c r="V32" s="250"/>
      <c r="W32" s="91"/>
      <c r="X32" s="92" t="str">
        <f>IF(SUM(AN37:AO37)=0,"",AN37&amp;":"&amp;AO37)</f>
        <v>15:21</v>
      </c>
      <c r="Y32" s="93" t="str">
        <f>IF(SUM(AN35:AO35)=0,"",AN35&amp;":"&amp;AO35)</f>
        <v>21:6</v>
      </c>
      <c r="Z32" s="249" t="str">
        <f>IF(SUM(AX35:BA35)=0,"",BD35&amp;":"&amp;BE35)</f>
        <v>77:54</v>
      </c>
      <c r="AA32" s="242" t="str">
        <f>IF(SUM(AX35:BA35)=0,"",BF35&amp;":"&amp;BG35)</f>
        <v>2:2</v>
      </c>
      <c r="AB32" s="242" t="str">
        <f>IF(SUM(AX35:BA35)=0,"",BH35&amp;":"&amp;BI35)</f>
        <v>1:1</v>
      </c>
      <c r="AC32" s="243">
        <f>IF(SUM(BH35:BH37)&gt;0,BJ35,"")</f>
        <v>2</v>
      </c>
      <c r="AD32" s="2"/>
      <c r="AE32" s="24"/>
      <c r="AF32" s="24"/>
      <c r="AH32" s="244" t="s">
        <v>7</v>
      </c>
      <c r="AI32" s="244"/>
      <c r="AJ32" s="244"/>
      <c r="AK32" s="244"/>
      <c r="AL32" s="244"/>
      <c r="AM32" s="244"/>
      <c r="AN32" s="244" t="s">
        <v>8</v>
      </c>
      <c r="AO32" s="244"/>
      <c r="AP32" s="244"/>
      <c r="AQ32" s="244"/>
      <c r="AR32" s="244"/>
      <c r="AS32" s="244"/>
    </row>
    <row r="33" spans="9:59" ht="11.25" customHeight="1" thickBot="1">
      <c r="I33" s="2" t="str">
        <f>"1"&amp;O31&amp;N32</f>
        <v>13Beginners</v>
      </c>
      <c r="J33" s="2" t="str">
        <f>IF(AC32="","",IF(AC32=1,N33,IF(AC35=1,N36,IF(AC38=1,N39,""))))</f>
        <v>O0006</v>
      </c>
      <c r="K33" s="2">
        <f>IF(AC32="","",IF(AC32=1,N34,IF(AC35=1,N37,IF(AC38=1,N40,""))))</f>
        <v>0</v>
      </c>
      <c r="L33" s="2"/>
      <c r="N33" s="29" t="s">
        <v>27</v>
      </c>
      <c r="O33" s="30">
        <f>IF(O31&gt;0,(O31&amp;1)*1,"")</f>
        <v>31</v>
      </c>
      <c r="Q33" s="247"/>
      <c r="R33" s="247"/>
      <c r="S33" s="248"/>
      <c r="T33" s="249"/>
      <c r="U33" s="228" t="str">
        <f>IF(AND(N33&lt;&gt;"",N34=""),CONCATENATE(VLOOKUP(N33,'[1]zawodnicy'!$A:$E,1,FALSE)," ",VLOOKUP(N33,'[1]zawodnicy'!$A:$E,2,FALSE)," ",VLOOKUP(N33,'[1]zawodnicy'!$A:$E,3,FALSE)," - ",VLOOKUP(N33,'[1]zawodnicy'!$A:$E,4,FALSE)),"")</f>
        <v>M0026 Wojciech MACHAJ - Mielec</v>
      </c>
      <c r="V33" s="228"/>
      <c r="W33" s="26"/>
      <c r="X33" s="27" t="str">
        <f>IF(SUM(AP37:AQ37)=0,"",AP37&amp;":"&amp;AQ37)</f>
        <v>20:22</v>
      </c>
      <c r="Y33" s="58" t="str">
        <f>IF(SUM(AP35:AQ35)=0,"",AP35&amp;":"&amp;AQ35)</f>
        <v>21:5</v>
      </c>
      <c r="Z33" s="249"/>
      <c r="AA33" s="242"/>
      <c r="AB33" s="242"/>
      <c r="AC33" s="243"/>
      <c r="AD33" s="2"/>
      <c r="AE33" s="24"/>
      <c r="AF33" s="24"/>
      <c r="BD33" s="11">
        <f>SUM(BD35:BD37)</f>
        <v>197</v>
      </c>
      <c r="BE33" s="11">
        <f>SUM(BE35:BE37)</f>
        <v>197</v>
      </c>
      <c r="BF33" s="11">
        <f>SUM(BF35:BF37)</f>
        <v>6</v>
      </c>
      <c r="BG33" s="11">
        <f>SUM(BG35:BG37)</f>
        <v>6</v>
      </c>
    </row>
    <row r="34" spans="10:63" ht="11.25" customHeight="1" thickBot="1">
      <c r="J34" s="2"/>
      <c r="K34" s="31"/>
      <c r="L34" s="31"/>
      <c r="N34" s="32"/>
      <c r="O34" s="31"/>
      <c r="P34" s="31"/>
      <c r="Q34" s="247"/>
      <c r="R34" s="247"/>
      <c r="S34" s="248"/>
      <c r="T34" s="249"/>
      <c r="U34" s="231">
        <f>IF(N34&lt;&gt;"",CONCATENATE(VLOOKUP(N34,'[1]zawodnicy'!$A:$E,1,FALSE)," ",VLOOKUP(N34,'[1]zawodnicy'!$A:$E,2,FALSE)," ",VLOOKUP(N34,'[1]zawodnicy'!$A:$E,3,FALSE)," - ",VLOOKUP(N34,'[1]zawodnicy'!$A:$E,4,FALSE)),"")</f>
      </c>
      <c r="V34" s="231"/>
      <c r="W34" s="26"/>
      <c r="X34" s="33">
        <f>IF(SUM(AR37:AS37)=0,"",AR37&amp;":"&amp;AS37)</f>
      </c>
      <c r="Y34" s="68">
        <f>IF(SUM(AR35:AS35)=0,"",AR35&amp;":"&amp;AS35)</f>
      </c>
      <c r="Z34" s="249"/>
      <c r="AA34" s="242"/>
      <c r="AB34" s="242"/>
      <c r="AC34" s="243"/>
      <c r="AD34" s="2"/>
      <c r="AE34" s="24"/>
      <c r="AF34" s="24"/>
      <c r="AH34" s="239" t="s">
        <v>12</v>
      </c>
      <c r="AI34" s="239"/>
      <c r="AJ34" s="240" t="s">
        <v>13</v>
      </c>
      <c r="AK34" s="240"/>
      <c r="AL34" s="241" t="s">
        <v>14</v>
      </c>
      <c r="AM34" s="241"/>
      <c r="AN34" s="239" t="s">
        <v>12</v>
      </c>
      <c r="AO34" s="239"/>
      <c r="AP34" s="240" t="s">
        <v>13</v>
      </c>
      <c r="AQ34" s="240"/>
      <c r="AR34" s="240" t="s">
        <v>14</v>
      </c>
      <c r="AS34" s="240"/>
      <c r="AT34" s="24"/>
      <c r="AU34" s="24"/>
      <c r="AV34" s="239">
        <v>1</v>
      </c>
      <c r="AW34" s="239"/>
      <c r="AX34" s="240">
        <v>2</v>
      </c>
      <c r="AY34" s="240"/>
      <c r="AZ34" s="241">
        <v>3</v>
      </c>
      <c r="BA34" s="241"/>
      <c r="BD34" s="235" t="s">
        <v>3</v>
      </c>
      <c r="BE34" s="235"/>
      <c r="BF34" s="235" t="s">
        <v>4</v>
      </c>
      <c r="BG34" s="235"/>
      <c r="BH34" s="235" t="s">
        <v>5</v>
      </c>
      <c r="BI34" s="235"/>
      <c r="BJ34" s="35" t="s">
        <v>6</v>
      </c>
      <c r="BK34" s="12">
        <f>SUM(BK35:BK37)</f>
        <v>0</v>
      </c>
    </row>
    <row r="35" spans="1:63" ht="11.25" customHeight="1">
      <c r="A35" s="11">
        <f>S35</f>
        <v>4</v>
      </c>
      <c r="B35" s="2" t="str">
        <f>IF(N33="","",N33)</f>
        <v>M0026</v>
      </c>
      <c r="C35" s="2">
        <f>IF(N34="","",N34)</f>
      </c>
      <c r="D35" s="2" t="str">
        <f>IF(N39="","",N39)</f>
        <v>P0021</v>
      </c>
      <c r="E35" s="2">
        <f>IF(N40="","",N40)</f>
      </c>
      <c r="I35" s="2" t="str">
        <f>"2"&amp;O31&amp;N32</f>
        <v>23Beginners</v>
      </c>
      <c r="J35" s="2" t="str">
        <f>IF(AC35="","",IF(AC32=2,N33,IF(AC35=2,N36,IF(AC38=2,N39,""))))</f>
        <v>M0026</v>
      </c>
      <c r="K35" s="2">
        <f>IF(AC35="","",IF(AC32=2,N34,IF(AC35=2,N37,IF(AC38=2,N40,""))))</f>
        <v>0</v>
      </c>
      <c r="M35" s="2" t="str">
        <f>N32</f>
        <v>Beginners</v>
      </c>
      <c r="O35" s="31"/>
      <c r="P35" s="31"/>
      <c r="Q35" s="36">
        <f>IF(AT35&gt;0,"",IF(A35=0,"",IF(VLOOKUP(A35,'[1]plan_gier'!A:S,19,FALSE)="","",VLOOKUP(A35,'[1]plan_gier'!A:S,19,FALSE))))</f>
      </c>
      <c r="R35" s="37" t="s">
        <v>15</v>
      </c>
      <c r="S35" s="84">
        <v>4</v>
      </c>
      <c r="T35" s="236">
        <v>2</v>
      </c>
      <c r="U35" s="233">
        <f>IF(AND(N36&lt;&gt;"",N37&lt;&gt;""),CONCATENATE(VLOOKUP(N36,'[1]zawodnicy'!$A:$E,1,FALSE)," ",VLOOKUP(N36,'[1]zawodnicy'!$A:$E,2,FALSE)," ",VLOOKUP(N36,'[1]zawodnicy'!$A:$E,3,FALSE)," - ",VLOOKUP(N36,'[1]zawodnicy'!$A:$E,4,FALSE)),"")</f>
      </c>
      <c r="V35" s="233"/>
      <c r="W35" s="39" t="str">
        <f>IF(SUM(AN37:AO37)=0,"",AO37&amp;":"&amp;AN37)</f>
        <v>21:15</v>
      </c>
      <c r="X35" s="72"/>
      <c r="Y35" s="42" t="str">
        <f>IF(SUM(AN36:AO36)=0,"",AN36&amp;":"&amp;AO36)</f>
        <v>21:14</v>
      </c>
      <c r="Z35" s="236" t="str">
        <f>IF(SUM(AV36:AW36,AZ36:BA36)=0,"",BD36&amp;":"&amp;BE36)</f>
        <v>85:59</v>
      </c>
      <c r="AA35" s="237" t="str">
        <f>IF(SUM(AV36:AW36,AZ36:BA36)=0,"",BF36&amp;":"&amp;BG36)</f>
        <v>4:0</v>
      </c>
      <c r="AB35" s="237" t="str">
        <f>IF(SUM(AV36:AW36,AZ36:BA36)=0,"",BH36&amp;":"&amp;BI36)</f>
        <v>2:0</v>
      </c>
      <c r="AC35" s="238">
        <f>IF(SUM(BH35:BH37)&gt;0,BJ36,"")</f>
        <v>1</v>
      </c>
      <c r="AD35" s="2"/>
      <c r="AE35" s="24"/>
      <c r="AF35" s="24"/>
      <c r="AG35" s="37" t="s">
        <v>15</v>
      </c>
      <c r="AH35" s="45">
        <f>IF(ISBLANK(S35),"",VLOOKUP(S35,'[1]plan_gier'!$X:$AN,12,FALSE))</f>
        <v>21</v>
      </c>
      <c r="AI35" s="46">
        <f>IF(ISBLANK(S35),"",VLOOKUP(S35,'[1]plan_gier'!$X:$AN,13,FALSE))</f>
        <v>6</v>
      </c>
      <c r="AJ35" s="46">
        <f>IF(ISBLANK(S35),"",VLOOKUP(S35,'[1]plan_gier'!$X:$AN,14,FALSE))</f>
        <v>21</v>
      </c>
      <c r="AK35" s="46">
        <f>IF(ISBLANK(S35),"",VLOOKUP(S35,'[1]plan_gier'!$X:$AN,15,FALSE))</f>
        <v>5</v>
      </c>
      <c r="AL35" s="46">
        <f>IF(ISBLANK(S35),"",VLOOKUP(S35,'[1]plan_gier'!$X:$AN,16,FALSE))</f>
        <v>0</v>
      </c>
      <c r="AM35" s="46">
        <f>IF(ISBLANK(S35),"",VLOOKUP(S35,'[1]plan_gier'!$X:$AN,17,FALSE))</f>
        <v>0</v>
      </c>
      <c r="AN35" s="94">
        <f aca="true" t="shared" si="5" ref="AN35:AS37">IF(AH35="",0,AH35)</f>
        <v>21</v>
      </c>
      <c r="AO35" s="44">
        <f t="shared" si="5"/>
        <v>6</v>
      </c>
      <c r="AP35" s="95">
        <f t="shared" si="5"/>
        <v>21</v>
      </c>
      <c r="AQ35" s="44">
        <f t="shared" si="5"/>
        <v>5</v>
      </c>
      <c r="AR35" s="95">
        <f t="shared" si="5"/>
        <v>0</v>
      </c>
      <c r="AS35" s="44">
        <f t="shared" si="5"/>
        <v>0</v>
      </c>
      <c r="AT35" s="48">
        <f>SUM(AN35:AS35)</f>
        <v>53</v>
      </c>
      <c r="AU35" s="49">
        <v>1</v>
      </c>
      <c r="AV35" s="96"/>
      <c r="AW35" s="97"/>
      <c r="AX35" s="46">
        <f>IF(AH37&gt;AI37,1,0)+IF(AJ37&gt;AK37,1,0)+IF(AL37&gt;AM37,1,0)</f>
        <v>0</v>
      </c>
      <c r="AY35" s="46">
        <f>AV36</f>
        <v>2</v>
      </c>
      <c r="AZ35" s="46">
        <f>IF(AH35&gt;AI35,1,0)+IF(AJ35&gt;AK35,1,0)+IF(AL35&gt;AM35,1,0)</f>
        <v>2</v>
      </c>
      <c r="BA35" s="47">
        <f>AV37</f>
        <v>0</v>
      </c>
      <c r="BD35" s="45">
        <f>AN35+AP35+AR35+AN37+AP37+AR37</f>
        <v>77</v>
      </c>
      <c r="BE35" s="47">
        <f>AO35+AQ35+AS35+AO37+AQ37+AS37</f>
        <v>54</v>
      </c>
      <c r="BF35" s="45">
        <f>AX35+AZ35</f>
        <v>2</v>
      </c>
      <c r="BG35" s="47">
        <f>AY35+BA35</f>
        <v>2</v>
      </c>
      <c r="BH35" s="45">
        <f>IF(AX35&gt;AY35,1,0)+IF(AZ35&gt;BA35,1,0)</f>
        <v>1</v>
      </c>
      <c r="BI35" s="51">
        <f>IF(AY35&gt;AX35,1,0)+IF(BA35&gt;AZ35,1,0)</f>
        <v>1</v>
      </c>
      <c r="BJ35" s="98">
        <f>IF(BH35+BI35=0,"",IF(BK35=MAX(BK35:BK37),1,IF(BK35=MIN(BK35:BK37),3,2)))</f>
        <v>2</v>
      </c>
      <c r="BK35" s="12">
        <f>IF(BH35+BI35&lt;&gt;0,BH35-BI35+(BF35-BG35)/100+(BD35-BE35)/10000,-2)</f>
        <v>0.0023</v>
      </c>
    </row>
    <row r="36" spans="1:63" ht="11.25" customHeight="1">
      <c r="A36" s="11">
        <f>S36</f>
        <v>9</v>
      </c>
      <c r="B36" s="2" t="str">
        <f>IF(N36="","",N36)</f>
        <v>O0006</v>
      </c>
      <c r="C36" s="2">
        <f>IF(N37="","",N37)</f>
      </c>
      <c r="D36" s="2" t="str">
        <f>IF(N39="","",N39)</f>
        <v>P0021</v>
      </c>
      <c r="E36" s="2">
        <f>IF(N40="","",N40)</f>
      </c>
      <c r="J36" s="2"/>
      <c r="K36" s="11"/>
      <c r="M36" s="2" t="str">
        <f>N32</f>
        <v>Beginners</v>
      </c>
      <c r="N36" s="29" t="s">
        <v>28</v>
      </c>
      <c r="O36" s="30">
        <f>IF(O31&gt;0,(O31&amp;2)*1,"")</f>
        <v>32</v>
      </c>
      <c r="Q36" s="36">
        <f>IF(AT36&gt;0,"",IF(A36=0,"",IF(VLOOKUP(A36,'[1]plan_gier'!A:S,19,FALSE)="","",VLOOKUP(A36,'[1]plan_gier'!A:S,19,FALSE))))</f>
      </c>
      <c r="R36" s="37" t="s">
        <v>19</v>
      </c>
      <c r="S36" s="84">
        <v>9</v>
      </c>
      <c r="T36" s="236"/>
      <c r="U36" s="228" t="str">
        <f>IF(AND(N36&lt;&gt;"",N37=""),CONCATENATE(VLOOKUP(N36,'[1]zawodnicy'!$A:$E,1,FALSE)," ",VLOOKUP(N36,'[1]zawodnicy'!$A:$E,2,FALSE)," ",VLOOKUP(N36,'[1]zawodnicy'!$A:$E,3,FALSE)," - ",VLOOKUP(N36,'[1]zawodnicy'!$A:$E,4,FALSE)),"")</f>
        <v>O0006 Jessica ORZECHOWICZ - Tarnowiec</v>
      </c>
      <c r="V36" s="228"/>
      <c r="W36" s="56" t="str">
        <f>IF(SUM(AP37:AQ37)=0,"",AQ37&amp;":"&amp;AP37)</f>
        <v>22:20</v>
      </c>
      <c r="X36" s="82"/>
      <c r="Y36" s="58" t="str">
        <f>IF(SUM(AP36:AQ36)=0,"",AP36&amp;":"&amp;AQ36)</f>
        <v>21:10</v>
      </c>
      <c r="Z36" s="236"/>
      <c r="AA36" s="237"/>
      <c r="AB36" s="237"/>
      <c r="AC36" s="238"/>
      <c r="AD36" s="2"/>
      <c r="AE36" s="24"/>
      <c r="AF36" s="24"/>
      <c r="AG36" s="37" t="s">
        <v>19</v>
      </c>
      <c r="AH36" s="59">
        <f>IF(ISBLANK(S36),"",VLOOKUP(S36,'[1]plan_gier'!$X:$AN,12,FALSE))</f>
        <v>21</v>
      </c>
      <c r="AI36" s="60">
        <f>IF(ISBLANK(S36),"",VLOOKUP(S36,'[1]plan_gier'!$X:$AN,13,FALSE))</f>
        <v>14</v>
      </c>
      <c r="AJ36" s="60">
        <f>IF(ISBLANK(S36),"",VLOOKUP(S36,'[1]plan_gier'!$X:$AN,14,FALSE))</f>
        <v>21</v>
      </c>
      <c r="AK36" s="60">
        <f>IF(ISBLANK(S36),"",VLOOKUP(S36,'[1]plan_gier'!$X:$AN,15,FALSE))</f>
        <v>10</v>
      </c>
      <c r="AL36" s="60">
        <f>IF(ISBLANK(S36),"",VLOOKUP(S36,'[1]plan_gier'!$X:$AN,16,FALSE))</f>
        <v>0</v>
      </c>
      <c r="AM36" s="60">
        <f>IF(ISBLANK(S36),"",VLOOKUP(S36,'[1]plan_gier'!$X:$AN,17,FALSE))</f>
        <v>0</v>
      </c>
      <c r="AN36" s="99">
        <f t="shared" si="5"/>
        <v>21</v>
      </c>
      <c r="AO36" s="60">
        <f t="shared" si="5"/>
        <v>14</v>
      </c>
      <c r="AP36" s="100">
        <f t="shared" si="5"/>
        <v>21</v>
      </c>
      <c r="AQ36" s="60">
        <f t="shared" si="5"/>
        <v>10</v>
      </c>
      <c r="AR36" s="100">
        <f t="shared" si="5"/>
        <v>0</v>
      </c>
      <c r="AS36" s="60">
        <f t="shared" si="5"/>
        <v>0</v>
      </c>
      <c r="AT36" s="48">
        <f>SUM(AN36:AS36)</f>
        <v>66</v>
      </c>
      <c r="AU36" s="49">
        <v>2</v>
      </c>
      <c r="AV36" s="59">
        <f>IF(AH37&lt;AI37,1,0)+IF(AJ37&lt;AK37,1,0)+IF(AL37&lt;AM37,1,0)</f>
        <v>2</v>
      </c>
      <c r="AW36" s="60">
        <f>AX35</f>
        <v>0</v>
      </c>
      <c r="AX36" s="101"/>
      <c r="AY36" s="102"/>
      <c r="AZ36" s="60">
        <f>IF(AH36&gt;AI36,1,0)+IF(AJ36&gt;AK36,1,0)+IF(AL36&gt;AM36,1,0)</f>
        <v>2</v>
      </c>
      <c r="BA36" s="61">
        <f>AX37</f>
        <v>0</v>
      </c>
      <c r="BD36" s="59">
        <f>AN36+AP36+AR36+AO37+AQ37+AS37</f>
        <v>85</v>
      </c>
      <c r="BE36" s="61">
        <f>AO36+AQ36+AS36+AN37+AP37+AR37</f>
        <v>59</v>
      </c>
      <c r="BF36" s="59">
        <f>AV36+AZ36</f>
        <v>4</v>
      </c>
      <c r="BG36" s="61">
        <f>AW36+BA36</f>
        <v>0</v>
      </c>
      <c r="BH36" s="59">
        <f>IF(AV36&gt;AW36,1,0)+IF(AZ36&gt;BA36,1,0)</f>
        <v>2</v>
      </c>
      <c r="BI36" s="65">
        <f>IF(AW36&gt;AV36,1,0)+IF(BA36&gt;AZ36,1,0)</f>
        <v>0</v>
      </c>
      <c r="BJ36" s="66">
        <f>IF(BH36+BI36=0,"",IF(BK36=MAX(BK35:BK37),1,IF(BK36=MIN(BK35:BK37),3,2)))</f>
        <v>1</v>
      </c>
      <c r="BK36" s="12">
        <f>IF(BH36+BI36&lt;&gt;0,BH36-BI36+(BF36-BG36)/100+(BD36-BE36)/10000,-2)</f>
        <v>2.0426</v>
      </c>
    </row>
    <row r="37" spans="1:63" ht="11.25" customHeight="1" thickBot="1">
      <c r="A37" s="11">
        <f>S37</f>
        <v>14</v>
      </c>
      <c r="B37" s="2" t="str">
        <f>IF(N33="","",N33)</f>
        <v>M0026</v>
      </c>
      <c r="C37" s="2">
        <f>IF(N34="","",N34)</f>
      </c>
      <c r="D37" s="2" t="str">
        <f>IF(N36="","",N36)</f>
        <v>O0006</v>
      </c>
      <c r="E37" s="2">
        <f>IF(N37="","",N37)</f>
      </c>
      <c r="I37" s="2" t="str">
        <f>"3"&amp;O31&amp;N32</f>
        <v>33Beginners</v>
      </c>
      <c r="J37" s="2" t="str">
        <f>IF(AC38="","",IF(AC32=3,N33,IF(AC35=3,N36,IF(AC38=3,N39,""))))</f>
        <v>P0021</v>
      </c>
      <c r="K37" s="2">
        <f>IF(AC38="","",IF(AC32=3,N34,IF(AC35=3,N37,IF(AC38=3,N40,""))))</f>
        <v>0</v>
      </c>
      <c r="M37" s="2" t="str">
        <f>N32</f>
        <v>Beginners</v>
      </c>
      <c r="N37" s="32"/>
      <c r="O37" s="31"/>
      <c r="P37" s="31"/>
      <c r="Q37" s="36">
        <f>IF(AT37&gt;0,"",IF(A37=0,"",IF(VLOOKUP(A37,'[1]plan_gier'!A:S,19,FALSE)="","",VLOOKUP(A37,'[1]plan_gier'!A:S,19,FALSE))))</f>
      </c>
      <c r="R37" s="37" t="s">
        <v>22</v>
      </c>
      <c r="S37" s="84">
        <v>14</v>
      </c>
      <c r="T37" s="236"/>
      <c r="U37" s="231">
        <f>IF(N37&lt;&gt;"",CONCATENATE(VLOOKUP(N37,'[1]zawodnicy'!$A:$E,1,FALSE)," ",VLOOKUP(N37,'[1]zawodnicy'!$A:$E,2,FALSE)," ",VLOOKUP(N37,'[1]zawodnicy'!$A:$E,3,FALSE)," - ",VLOOKUP(N37,'[1]zawodnicy'!$A:$E,4,FALSE)),"")</f>
      </c>
      <c r="V37" s="231"/>
      <c r="W37" s="67">
        <f>IF(SUM(AR37:AS37)=0,"",AS37&amp;":"&amp;AR37)</f>
      </c>
      <c r="X37" s="82"/>
      <c r="Y37" s="68">
        <f>IF(SUM(AR36:AS36)=0,"",AR36&amp;":"&amp;AS36)</f>
      </c>
      <c r="Z37" s="236"/>
      <c r="AA37" s="237"/>
      <c r="AB37" s="237"/>
      <c r="AC37" s="238"/>
      <c r="AD37" s="2"/>
      <c r="AE37" s="24"/>
      <c r="AF37" s="24"/>
      <c r="AG37" s="37" t="s">
        <v>22</v>
      </c>
      <c r="AH37" s="78">
        <f>IF(ISBLANK(S37),"",VLOOKUP(S37,'[1]plan_gier'!$X:$AN,12,FALSE))</f>
        <v>15</v>
      </c>
      <c r="AI37" s="75">
        <f>IF(ISBLANK(S37),"",VLOOKUP(S37,'[1]plan_gier'!$X:$AN,13,FALSE))</f>
        <v>21</v>
      </c>
      <c r="AJ37" s="75">
        <f>IF(ISBLANK(S37),"",VLOOKUP(S37,'[1]plan_gier'!$X:$AN,14,FALSE))</f>
        <v>20</v>
      </c>
      <c r="AK37" s="75">
        <f>IF(ISBLANK(S37),"",VLOOKUP(S37,'[1]plan_gier'!$X:$AN,15,FALSE))</f>
        <v>22</v>
      </c>
      <c r="AL37" s="75">
        <f>IF(ISBLANK(S37),"",VLOOKUP(S37,'[1]plan_gier'!$X:$AN,16,FALSE))</f>
        <v>0</v>
      </c>
      <c r="AM37" s="75">
        <f>IF(ISBLANK(S37),"",VLOOKUP(S37,'[1]plan_gier'!$X:$AN,17,FALSE))</f>
        <v>0</v>
      </c>
      <c r="AN37" s="103">
        <f t="shared" si="5"/>
        <v>15</v>
      </c>
      <c r="AO37" s="75">
        <f t="shared" si="5"/>
        <v>21</v>
      </c>
      <c r="AP37" s="104">
        <f t="shared" si="5"/>
        <v>20</v>
      </c>
      <c r="AQ37" s="75">
        <f t="shared" si="5"/>
        <v>22</v>
      </c>
      <c r="AR37" s="104">
        <f t="shared" si="5"/>
        <v>0</v>
      </c>
      <c r="AS37" s="75">
        <f t="shared" si="5"/>
        <v>0</v>
      </c>
      <c r="AT37" s="48">
        <f>SUM(AN37:AS37)</f>
        <v>78</v>
      </c>
      <c r="AU37" s="49">
        <v>3</v>
      </c>
      <c r="AV37" s="78">
        <f>IF(AH35&lt;AI35,1,0)+IF(AJ35&lt;AK35,1,0)+IF(AL35&lt;AM35,1,0)</f>
        <v>0</v>
      </c>
      <c r="AW37" s="75">
        <f>AZ35</f>
        <v>2</v>
      </c>
      <c r="AX37" s="75">
        <f>IF(AH36&lt;AI36,1,0)+IF(AJ36&lt;AK36,1,0)+IF(AL36&lt;AM36,1,0)</f>
        <v>0</v>
      </c>
      <c r="AY37" s="75">
        <f>AZ36</f>
        <v>2</v>
      </c>
      <c r="AZ37" s="105"/>
      <c r="BA37" s="106"/>
      <c r="BD37" s="78">
        <f>AO35+AQ35+AS35+AO36+AQ36+AS36</f>
        <v>35</v>
      </c>
      <c r="BE37" s="80">
        <f>AN35+AP35+AR35+AN36+AP36+AR36</f>
        <v>84</v>
      </c>
      <c r="BF37" s="78">
        <f>AV37+AX37</f>
        <v>0</v>
      </c>
      <c r="BG37" s="80">
        <f>AW37+AY37</f>
        <v>4</v>
      </c>
      <c r="BH37" s="78">
        <f>IF(AV37&gt;AW37,1,0)+IF(AX37&gt;AY37,1,0)</f>
        <v>0</v>
      </c>
      <c r="BI37" s="79">
        <f>IF(AW37&gt;AV37,1,0)+IF(AY37&gt;AX37,1,0)</f>
        <v>2</v>
      </c>
      <c r="BJ37" s="81">
        <f>IF(BH37+BI37=0,"",IF(BK37=MAX(BK35:BK37),1,IF(BK37=MIN(BK35:BK37),3,2)))</f>
        <v>3</v>
      </c>
      <c r="BK37" s="12">
        <f>IF(BH37+BI37&lt;&gt;0,BH37-BI37+(BF37-BG37)/100+(BD37-BE37)/10000,-2)</f>
        <v>-2.0449</v>
      </c>
    </row>
    <row r="38" spans="1:59" ht="11.25" customHeight="1" thickBot="1">
      <c r="A38" s="2"/>
      <c r="J38" s="31"/>
      <c r="K38" s="31"/>
      <c r="L38" s="31"/>
      <c r="O38" s="31"/>
      <c r="P38" s="31"/>
      <c r="Q38" s="2"/>
      <c r="R38" s="2"/>
      <c r="S38" s="2"/>
      <c r="T38" s="232">
        <v>3</v>
      </c>
      <c r="U38" s="233">
        <f>IF(AND(N39&lt;&gt;"",N40&lt;&gt;""),CONCATENATE(VLOOKUP(N39,'[1]zawodnicy'!$A:$E,1,FALSE)," ",VLOOKUP(N39,'[1]zawodnicy'!$A:$E,2,FALSE)," ",VLOOKUP(N39,'[1]zawodnicy'!$A:$E,3,FALSE)," - ",VLOOKUP(N39,'[1]zawodnicy'!$A:$E,4,FALSE)),"")</f>
      </c>
      <c r="V38" s="233"/>
      <c r="W38" s="39" t="str">
        <f>IF(SUM(AN35:AO35)=0,"",AO35&amp;":"&amp;AN35)</f>
        <v>6:21</v>
      </c>
      <c r="X38" s="41" t="str">
        <f>IF(SUM(AN36:AO36)=0,"",AO36&amp;":"&amp;AN36)</f>
        <v>14:21</v>
      </c>
      <c r="Y38" s="107"/>
      <c r="Z38" s="232" t="str">
        <f>IF(SUM(AV37:AY37)=0,"",BD37&amp;":"&amp;BE37)</f>
        <v>35:84</v>
      </c>
      <c r="AA38" s="234" t="str">
        <f>IF(SUM(AV37:AY37)=0,"",BF37&amp;":"&amp;BG37)</f>
        <v>0:4</v>
      </c>
      <c r="AB38" s="234" t="str">
        <f>IF(SUM(AV37:AY37)=0,"",BH37&amp;":"&amp;BI37)</f>
        <v>0:2</v>
      </c>
      <c r="AC38" s="227">
        <f>IF(SUM(BH35:BH37)&gt;0,BJ37,"")</f>
        <v>3</v>
      </c>
      <c r="AD38" s="2"/>
      <c r="AE38" s="24"/>
      <c r="AF38" s="24"/>
      <c r="BD38" s="11">
        <f>SUM(BD35:BD37)</f>
        <v>197</v>
      </c>
      <c r="BE38" s="11">
        <f>SUM(BE35:BE37)</f>
        <v>197</v>
      </c>
      <c r="BF38" s="11">
        <f>SUM(BF35:BF37)</f>
        <v>6</v>
      </c>
      <c r="BG38" s="11">
        <f>SUM(BG35:BG37)</f>
        <v>6</v>
      </c>
    </row>
    <row r="39" spans="1:63" ht="11.25" customHeight="1" thickBot="1">
      <c r="A39" s="11"/>
      <c r="J39" s="11"/>
      <c r="K39" s="11"/>
      <c r="L39" s="11"/>
      <c r="N39" s="29" t="s">
        <v>29</v>
      </c>
      <c r="O39" s="30">
        <f>IF(O31&gt;0,(O31&amp;3)*1,"")</f>
        <v>33</v>
      </c>
      <c r="Q39" s="10"/>
      <c r="R39" s="10"/>
      <c r="S39" s="84"/>
      <c r="T39" s="232"/>
      <c r="U39" s="228" t="str">
        <f>IF(AND(N39&lt;&gt;"",N40=""),CONCATENATE(VLOOKUP(N39,'[1]zawodnicy'!$A:$E,1,FALSE)," ",VLOOKUP(N39,'[1]zawodnicy'!$A:$E,2,FALSE)," ",VLOOKUP(N39,'[1]zawodnicy'!$A:$E,3,FALSE)," - ",VLOOKUP(N39,'[1]zawodnicy'!$A:$E,4,FALSE)),"")</f>
        <v>P0021 Mikołaj POLAŃSKI - Rzeszów</v>
      </c>
      <c r="V39" s="228"/>
      <c r="W39" s="56" t="str">
        <f>IF(SUM(AP35:AQ35)=0,"",AQ35&amp;":"&amp;AP35)</f>
        <v>5:21</v>
      </c>
      <c r="X39" s="27" t="str">
        <f>IF(SUM(AP36:AQ36)=0,"",AQ36&amp;":"&amp;AP36)</f>
        <v>10:21</v>
      </c>
      <c r="Y39" s="108"/>
      <c r="Z39" s="232"/>
      <c r="AA39" s="234"/>
      <c r="AB39" s="234"/>
      <c r="AC39" s="227"/>
      <c r="AD39" s="2"/>
      <c r="AE39" s="24"/>
      <c r="AF39" s="24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1.25" customHeight="1" thickBot="1">
      <c r="A40" s="2"/>
      <c r="J40" s="31"/>
      <c r="K40" s="31"/>
      <c r="L40" s="31"/>
      <c r="N40" s="32"/>
      <c r="O40" s="31"/>
      <c r="P40" s="31"/>
      <c r="Q40" s="2"/>
      <c r="R40" s="2"/>
      <c r="S40" s="2"/>
      <c r="T40" s="232"/>
      <c r="U40" s="229">
        <f>IF(N40&lt;&gt;"",CONCATENATE(VLOOKUP(N40,'[1]zawodnicy'!$A:$E,1,FALSE)," ",VLOOKUP(N40,'[1]zawodnicy'!$A:$E,2,FALSE)," ",VLOOKUP(N40,'[1]zawodnicy'!$A:$E,3,FALSE)," - ",VLOOKUP(N40,'[1]zawodnicy'!$A:$E,4,FALSE)),"")</f>
      </c>
      <c r="V40" s="229"/>
      <c r="W40" s="86">
        <f>IF(SUM(AR35:AS35)=0,"",AS35&amp;":"&amp;AR35)</f>
      </c>
      <c r="X40" s="87">
        <f>IF(SUM(AR36:AS36)=0,"",AS36&amp;":"&amp;AR36)</f>
      </c>
      <c r="Y40" s="88"/>
      <c r="Z40" s="232"/>
      <c r="AA40" s="234"/>
      <c r="AB40" s="234"/>
      <c r="AC40" s="227"/>
      <c r="AD40" s="2"/>
      <c r="AE40" s="24"/>
      <c r="AF40" s="24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0:63" ht="12" customHeight="1" thickBot="1">
      <c r="J41" s="3"/>
      <c r="K41" s="3"/>
      <c r="L41" s="3"/>
      <c r="N41" s="4"/>
      <c r="O41" s="3"/>
      <c r="P41" s="3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6"/>
    </row>
    <row r="42" spans="14:45" ht="11.25" customHeight="1" thickBot="1">
      <c r="N42" s="13"/>
      <c r="O42" s="14">
        <v>4</v>
      </c>
      <c r="Q42" s="245" t="str">
        <f>"Grupa "&amp;O42&amp;"."</f>
        <v>Grupa 4.</v>
      </c>
      <c r="R42" s="245"/>
      <c r="S42" s="245"/>
      <c r="T42" s="15" t="s">
        <v>1</v>
      </c>
      <c r="U42" s="246" t="s">
        <v>2</v>
      </c>
      <c r="V42" s="246"/>
      <c r="W42" s="15">
        <v>1</v>
      </c>
      <c r="X42" s="17">
        <v>2</v>
      </c>
      <c r="Y42" s="18">
        <v>3</v>
      </c>
      <c r="Z42" s="19">
        <v>4</v>
      </c>
      <c r="AA42" s="20" t="s">
        <v>3</v>
      </c>
      <c r="AB42" s="21" t="s">
        <v>4</v>
      </c>
      <c r="AC42" s="22" t="s">
        <v>5</v>
      </c>
      <c r="AD42" s="23" t="s">
        <v>6</v>
      </c>
      <c r="AE42" s="24"/>
      <c r="AF42" s="24"/>
      <c r="AH42" s="244" t="s">
        <v>7</v>
      </c>
      <c r="AI42" s="244"/>
      <c r="AJ42" s="244"/>
      <c r="AK42" s="244"/>
      <c r="AL42" s="244"/>
      <c r="AM42" s="244"/>
      <c r="AN42" s="244" t="s">
        <v>8</v>
      </c>
      <c r="AO42" s="244"/>
      <c r="AP42" s="244"/>
      <c r="AQ42" s="244"/>
      <c r="AR42" s="244"/>
      <c r="AS42" s="244"/>
    </row>
    <row r="43" spans="14:32" ht="11.25" customHeight="1" thickBot="1">
      <c r="N43" s="25" t="s">
        <v>0</v>
      </c>
      <c r="Q43" s="247" t="s">
        <v>9</v>
      </c>
      <c r="R43" s="247"/>
      <c r="S43" s="248" t="s">
        <v>10</v>
      </c>
      <c r="T43" s="249">
        <v>1</v>
      </c>
      <c r="U43" s="250">
        <f>IF(AND(N44&lt;&gt;"",N45&lt;&gt;""),CONCATENATE(VLOOKUP(N44,'[1]zawodnicy'!$A:$E,1,FALSE)," ",VLOOKUP(N44,'[1]zawodnicy'!$A:$E,2,FALSE)," ",VLOOKUP(N44,'[1]zawodnicy'!$A:$E,3,FALSE)," - ",VLOOKUP(N44,'[1]zawodnicy'!$A:$E,4,FALSE)),"")</f>
      </c>
      <c r="V43" s="250"/>
      <c r="W43" s="26"/>
      <c r="X43" s="27" t="str">
        <f>IF(SUM(AN51:AO51)=0,"",AN51&amp;":"&amp;AO51)</f>
        <v>21:17</v>
      </c>
      <c r="Y43" s="27" t="str">
        <f>IF(SUM(AN46:AO46)=0,"",AN46&amp;":"&amp;AO46)</f>
        <v>21:6</v>
      </c>
      <c r="Z43" s="28" t="str">
        <f>IF(SUM(AN48:AO48)=0,"",AN48&amp;":"&amp;AO48)</f>
        <v>21:11</v>
      </c>
      <c r="AA43" s="249" t="str">
        <f>IF(SUM(AX46:BC46)=0,"",BD46&amp;":"&amp;BE46)</f>
        <v>126:74</v>
      </c>
      <c r="AB43" s="242" t="str">
        <f>IF(SUM(AX46:BC46)=0,"",BF46&amp;":"&amp;BG46)</f>
        <v>6:0</v>
      </c>
      <c r="AC43" s="242" t="str">
        <f>IF(SUM(AX46:BC46)=0,"",BH46&amp;":"&amp;BI46)</f>
        <v>3:0</v>
      </c>
      <c r="AD43" s="243">
        <f>IF(SUM(BH46:BH49)&gt;0,BJ46,"")</f>
        <v>1</v>
      </c>
      <c r="AE43" s="24"/>
      <c r="AF43" s="24"/>
    </row>
    <row r="44" spans="9:32" ht="11.25" customHeight="1" thickBot="1">
      <c r="I44" s="2" t="str">
        <f>"1"&amp;O42&amp;N43</f>
        <v>14Beginners</v>
      </c>
      <c r="J44" s="2" t="str">
        <f>IF(AD43="","",IF(AD43=1,N44,IF(AD46=1,N47,IF(AD49=1,N50,IF(AD52=1,N53,"")))))</f>
        <v>s0028</v>
      </c>
      <c r="K44" s="2">
        <f>IF(AD43="","",IF(AD43=1,N45,IF(AD46=1,N48,IF(AD49=1,N51,IF(AD52=1,N54,"")))))</f>
        <v>0</v>
      </c>
      <c r="L44" s="2"/>
      <c r="N44" s="29" t="s">
        <v>30</v>
      </c>
      <c r="O44" s="30">
        <f>IF(O42&gt;0,(O42&amp;1)*1,"")</f>
        <v>41</v>
      </c>
      <c r="Q44" s="247"/>
      <c r="R44" s="247"/>
      <c r="S44" s="248"/>
      <c r="T44" s="249"/>
      <c r="U44" s="228" t="str">
        <f>IF(AND(N44&lt;&gt;"",N45=""),CONCATENATE(VLOOKUP(N44,'[1]zawodnicy'!$A:$E,1,FALSE)," ",VLOOKUP(N44,'[1]zawodnicy'!$A:$E,2,FALSE)," ",VLOOKUP(N44,'[1]zawodnicy'!$A:$E,3,FALSE)," - ",VLOOKUP(N44,'[1]zawodnicy'!$A:$E,4,FALSE)),"")</f>
        <v>S0028 Tobiasz SAŁAGAJ - Mielec</v>
      </c>
      <c r="V44" s="228"/>
      <c r="W44" s="26"/>
      <c r="X44" s="27" t="str">
        <f>IF(SUM(AP51:AQ51)=0,"",AP51&amp;":"&amp;AQ51)</f>
        <v>21:18</v>
      </c>
      <c r="Y44" s="27" t="str">
        <f>IF(SUM(AP46:AQ46)=0,"",AP46&amp;":"&amp;AQ46)</f>
        <v>21:5</v>
      </c>
      <c r="Z44" s="28" t="str">
        <f>IF(SUM(AP48:AQ48)=0,"",AP48&amp;":"&amp;AQ48)</f>
        <v>21:17</v>
      </c>
      <c r="AA44" s="249"/>
      <c r="AB44" s="242"/>
      <c r="AC44" s="242"/>
      <c r="AD44" s="243"/>
      <c r="AE44" s="24"/>
      <c r="AF44" s="24"/>
    </row>
    <row r="45" spans="10:62" ht="11.25" customHeight="1" thickBot="1">
      <c r="J45" s="2"/>
      <c r="K45" s="31"/>
      <c r="L45" s="31"/>
      <c r="N45" s="32"/>
      <c r="O45" s="31"/>
      <c r="P45" s="31"/>
      <c r="Q45" s="247"/>
      <c r="R45" s="247"/>
      <c r="S45" s="248"/>
      <c r="T45" s="249"/>
      <c r="U45" s="231">
        <f>IF(N45&lt;&gt;"",CONCATENATE(VLOOKUP(N45,'[1]zawodnicy'!$A:$E,1,FALSE)," ",VLOOKUP(N45,'[1]zawodnicy'!$A:$E,2,FALSE)," ",VLOOKUP(N45,'[1]zawodnicy'!$A:$E,3,FALSE)," - ",VLOOKUP(N45,'[1]zawodnicy'!$A:$E,4,FALSE)),"")</f>
      </c>
      <c r="V45" s="231"/>
      <c r="W45" s="26"/>
      <c r="X45" s="33">
        <f>IF(SUM(AR51:AS51)=0,"",AR51&amp;":"&amp;AS51)</f>
      </c>
      <c r="Y45" s="33">
        <f>IF(SUM(AR46:AS46)=0,"",AR46&amp;":"&amp;AS46)</f>
      </c>
      <c r="Z45" s="34">
        <f>IF(SUM(AR48:AS48)=0,"",AR48&amp;":"&amp;AS48)</f>
      </c>
      <c r="AA45" s="249"/>
      <c r="AB45" s="242"/>
      <c r="AC45" s="242"/>
      <c r="AD45" s="243"/>
      <c r="AE45" s="24"/>
      <c r="AF45" s="24"/>
      <c r="AH45" s="239" t="s">
        <v>12</v>
      </c>
      <c r="AI45" s="239"/>
      <c r="AJ45" s="240" t="s">
        <v>13</v>
      </c>
      <c r="AK45" s="240"/>
      <c r="AL45" s="241" t="s">
        <v>14</v>
      </c>
      <c r="AM45" s="241"/>
      <c r="AN45" s="239" t="s">
        <v>12</v>
      </c>
      <c r="AO45" s="239"/>
      <c r="AP45" s="240" t="s">
        <v>13</v>
      </c>
      <c r="AQ45" s="240"/>
      <c r="AR45" s="241" t="s">
        <v>14</v>
      </c>
      <c r="AS45" s="241"/>
      <c r="AV45" s="239">
        <v>1</v>
      </c>
      <c r="AW45" s="239"/>
      <c r="AX45" s="240">
        <v>2</v>
      </c>
      <c r="AY45" s="240"/>
      <c r="AZ45" s="240">
        <v>3</v>
      </c>
      <c r="BA45" s="240"/>
      <c r="BB45" s="241">
        <v>4</v>
      </c>
      <c r="BC45" s="241"/>
      <c r="BD45" s="235" t="s">
        <v>3</v>
      </c>
      <c r="BE45" s="235"/>
      <c r="BF45" s="235" t="s">
        <v>4</v>
      </c>
      <c r="BG45" s="235"/>
      <c r="BH45" s="235" t="s">
        <v>5</v>
      </c>
      <c r="BI45" s="235"/>
      <c r="BJ45" s="35" t="s">
        <v>6</v>
      </c>
    </row>
    <row r="46" spans="1:63" ht="11.25" customHeight="1">
      <c r="A46" s="11">
        <f aca="true" t="shared" si="6" ref="A46:A51">S46</f>
        <v>4</v>
      </c>
      <c r="B46" s="11" t="str">
        <f>IF(N44="","",N44)</f>
        <v>s0028</v>
      </c>
      <c r="C46" s="11">
        <f>IF(N45="","",N45)</f>
      </c>
      <c r="D46" s="11" t="str">
        <f>IF(N50="","",N50)</f>
        <v>g0016</v>
      </c>
      <c r="E46" s="11">
        <f>IF(N51="","",N51)</f>
      </c>
      <c r="I46" s="2" t="str">
        <f>"2"&amp;O42&amp;N43</f>
        <v>24Beginners</v>
      </c>
      <c r="J46" s="2" t="str">
        <f>IF(AD46="","",IF(AD43=2,N44,IF(AD46=2,N47,IF(AD49=2,N50,IF(AD52=2,N53,"")))))</f>
        <v>S0035</v>
      </c>
      <c r="K46" s="2">
        <f>IF(AD46="","",IF(AD43=2,N45,IF(AD46=2,N48,IF(AD49=2,N51,IF(AD52=2,N54,"")))))</f>
        <v>0</v>
      </c>
      <c r="L46" s="2"/>
      <c r="M46" s="2" t="str">
        <f>N43</f>
        <v>Beginners</v>
      </c>
      <c r="O46" s="31"/>
      <c r="P46" s="31"/>
      <c r="Q46" s="36">
        <f>IF(AT46&gt;0,"",IF(A46=0,"",IF(VLOOKUP(A46,'[1]plan_gier'!A:S,19,FALSE)="","",VLOOKUP(A46,'[1]plan_gier'!A:S,19,FALSE))))</f>
      </c>
      <c r="R46" s="37" t="s">
        <v>15</v>
      </c>
      <c r="S46" s="38">
        <v>4</v>
      </c>
      <c r="T46" s="236">
        <v>2</v>
      </c>
      <c r="U46" s="233">
        <f>IF(AND(N47&lt;&gt;"",N48&lt;&gt;""),CONCATENATE(VLOOKUP(N47,'[1]zawodnicy'!$A:$E,1,FALSE)," ",VLOOKUP(N47,'[1]zawodnicy'!$A:$E,2,FALSE)," ",VLOOKUP(N47,'[1]zawodnicy'!$A:$E,3,FALSE)," - ",VLOOKUP(N47,'[1]zawodnicy'!$A:$E,4,FALSE)),"")</f>
      </c>
      <c r="V46" s="233"/>
      <c r="W46" s="39" t="str">
        <f>IF(SUM(AN51:AO51)=0,"",AO51&amp;":"&amp;AN51)</f>
        <v>17:21</v>
      </c>
      <c r="X46" s="40"/>
      <c r="Y46" s="41" t="str">
        <f>IF(SUM(AN49:AO49)=0,"",AN49&amp;":"&amp;AO49)</f>
        <v>21:11</v>
      </c>
      <c r="Z46" s="42" t="str">
        <f>IF(SUM(AN47:AO47)=0,"",AN47&amp;":"&amp;AO47)</f>
        <v>14:21</v>
      </c>
      <c r="AA46" s="236" t="str">
        <f>IF(SUM(AV47:AW47,AZ47:BC47)=0,"",BD47&amp;":"&amp;BE47)</f>
        <v>98:112</v>
      </c>
      <c r="AB46" s="237" t="str">
        <f>IF(SUM(AV47:AW47,AZ47:BC47)=0,"",BF47&amp;":"&amp;BG47)</f>
        <v>2:4</v>
      </c>
      <c r="AC46" s="237" t="str">
        <f>IF(SUM(AV47:AW47,AZ47:BC47)=0,"",BH47&amp;":"&amp;BI47)</f>
        <v>1:2</v>
      </c>
      <c r="AD46" s="238">
        <f>IF(SUM(BH46:BH49)&gt;0,BJ47,"")</f>
        <v>3</v>
      </c>
      <c r="AE46" s="24"/>
      <c r="AF46" s="24"/>
      <c r="AG46" s="37" t="s">
        <v>15</v>
      </c>
      <c r="AH46" s="43">
        <f>IF(ISBLANK(S46),"",VLOOKUP(S46,'[1]plan_gier'!$X:$AN,12,FALSE))</f>
        <v>21</v>
      </c>
      <c r="AI46" s="44">
        <f>IF(ISBLANK(S46),"",VLOOKUP(S46,'[1]plan_gier'!$X:$AN,13,FALSE))</f>
        <v>6</v>
      </c>
      <c r="AJ46" s="44">
        <f>IF(ISBLANK(S46),"",VLOOKUP(S46,'[1]plan_gier'!$X:$AN,14,FALSE))</f>
        <v>21</v>
      </c>
      <c r="AK46" s="44">
        <f>IF(ISBLANK(S46),"",VLOOKUP(S46,'[1]plan_gier'!$X:$AN,15,FALSE))</f>
        <v>5</v>
      </c>
      <c r="AL46" s="44">
        <f>IF(ISBLANK(S46),"",VLOOKUP(S46,'[1]plan_gier'!$X:$AN,16,FALSE))</f>
        <v>0</v>
      </c>
      <c r="AM46" s="44">
        <f>IF(ISBLANK(S46),"",VLOOKUP(S46,'[1]plan_gier'!$X:$AN,17,FALSE))</f>
        <v>0</v>
      </c>
      <c r="AN46" s="45">
        <f aca="true" t="shared" si="7" ref="AN46:AS51">IF(AH46="",0,AH46)</f>
        <v>21</v>
      </c>
      <c r="AO46" s="46">
        <f t="shared" si="7"/>
        <v>6</v>
      </c>
      <c r="AP46" s="46">
        <f t="shared" si="7"/>
        <v>21</v>
      </c>
      <c r="AQ46" s="46">
        <f t="shared" si="7"/>
        <v>5</v>
      </c>
      <c r="AR46" s="46">
        <f t="shared" si="7"/>
        <v>0</v>
      </c>
      <c r="AS46" s="47">
        <f t="shared" si="7"/>
        <v>0</v>
      </c>
      <c r="AT46" s="48">
        <f aca="true" t="shared" si="8" ref="AT46:AT51">SUM(AN46:AS46)</f>
        <v>53</v>
      </c>
      <c r="AU46" s="49">
        <v>1</v>
      </c>
      <c r="AV46" s="251"/>
      <c r="AW46" s="251"/>
      <c r="AX46" s="46">
        <f>IF(AH51&gt;AI51,1,0)+IF(AJ51&gt;AK51,1,0)+IF(AL51&gt;AM51,1,0)</f>
        <v>2</v>
      </c>
      <c r="AY46" s="46">
        <f>AV47</f>
        <v>0</v>
      </c>
      <c r="AZ46" s="46">
        <f>IF(AH46&gt;AI46,1,0)+IF(AJ46&gt;AK46,1,0)+IF(AL46&gt;AM46,1,0)</f>
        <v>2</v>
      </c>
      <c r="BA46" s="44">
        <f>AV48</f>
        <v>0</v>
      </c>
      <c r="BB46" s="50">
        <f>IF(AH48&gt;AI48,1,0)+IF(AJ48&gt;AK48,1,0)+IF(AL48&gt;AM48,1,0)</f>
        <v>2</v>
      </c>
      <c r="BC46" s="51">
        <f>AV49</f>
        <v>0</v>
      </c>
      <c r="BD46" s="43">
        <f>AN46+AP46+AR46+AN48+AP48+AR48+AN51+AP51+AR51</f>
        <v>126</v>
      </c>
      <c r="BE46" s="52">
        <f>AO46+AQ46+AS46+AO48+AQ48+AS48+AO51+AQ51+AS51</f>
        <v>74</v>
      </c>
      <c r="BF46" s="43">
        <f>AX46+AZ46+BB46</f>
        <v>6</v>
      </c>
      <c r="BG46" s="53">
        <f>AY46+BA46+BC46</f>
        <v>0</v>
      </c>
      <c r="BH46" s="43">
        <f>IF(AX46&gt;AY46,1,0)+IF(AZ46&gt;BA46,1,0)+IF(BB46&gt;BC46,1,0)</f>
        <v>3</v>
      </c>
      <c r="BI46" s="53">
        <f>IF(AY46&gt;AX46,1,0)+IF(BA46&gt;AZ46,1,0)+IF(BC46&gt;BB46,1,0)</f>
        <v>0</v>
      </c>
      <c r="BJ46" s="54">
        <f>IF(BH46+BI46=0,"",IF(BK46=MAX(BK46:BK49),1,IF(BK46=LARGE(BK46:BK49,2),2,IF(BK46=MIN(BK46:BK49),4,3))))</f>
        <v>1</v>
      </c>
      <c r="BK46" s="55">
        <f>IF(BH46+BI46&lt;&gt;0,BH46-BI46+(BF46-BG46)/100+(BD46-BE46)/10000,-3)</f>
        <v>3.0652</v>
      </c>
    </row>
    <row r="47" spans="1:63" ht="11.25" customHeight="1">
      <c r="A47" s="11">
        <f t="shared" si="6"/>
        <v>10</v>
      </c>
      <c r="B47" s="11" t="str">
        <f>IF(N47="","",N47)</f>
        <v>s0032</v>
      </c>
      <c r="C47" s="11">
        <f>IF(N48="","",N48)</f>
      </c>
      <c r="D47" s="11" t="str">
        <f>IF(N53="","",N53)</f>
        <v>S0035</v>
      </c>
      <c r="E47" s="11">
        <f>IF(N54="","",N54)</f>
      </c>
      <c r="J47" s="2"/>
      <c r="K47" s="11"/>
      <c r="L47" s="11"/>
      <c r="M47" s="2" t="str">
        <f>N43</f>
        <v>Beginners</v>
      </c>
      <c r="N47" s="29" t="s">
        <v>31</v>
      </c>
      <c r="O47" s="30">
        <f>IF(O42&gt;0,(O42&amp;2)*1,"")</f>
        <v>42</v>
      </c>
      <c r="Q47" s="36">
        <f>IF(AT47&gt;0,"",IF(A47=0,"",IF(VLOOKUP(A47,'[1]plan_gier'!A:S,19,FALSE)="","",VLOOKUP(A47,'[1]plan_gier'!A:S,19,FALSE))))</f>
      </c>
      <c r="R47" s="37" t="s">
        <v>17</v>
      </c>
      <c r="S47" s="38">
        <v>10</v>
      </c>
      <c r="T47" s="236"/>
      <c r="U47" s="228" t="str">
        <f>IF(AND(N47&lt;&gt;"",N48=""),CONCATENATE(VLOOKUP(N47,'[1]zawodnicy'!$A:$E,1,FALSE)," ",VLOOKUP(N47,'[1]zawodnicy'!$A:$E,2,FALSE)," ",VLOOKUP(N47,'[1]zawodnicy'!$A:$E,3,FALSE)," - ",VLOOKUP(N47,'[1]zawodnicy'!$A:$E,4,FALSE)),"")</f>
        <v>S0032 Łukasz SZANTULA - Mielec</v>
      </c>
      <c r="V47" s="228"/>
      <c r="W47" s="56" t="str">
        <f>IF(SUM(AP51:AQ51)=0,"",AQ51&amp;":"&amp;AP51)</f>
        <v>18:21</v>
      </c>
      <c r="X47" s="57"/>
      <c r="Y47" s="27" t="str">
        <f>IF(SUM(AP49:AQ49)=0,"",AP49&amp;":"&amp;AQ49)</f>
        <v>21:17</v>
      </c>
      <c r="Z47" s="58" t="str">
        <f>IF(SUM(AP47:AQ47)=0,"",AP47&amp;":"&amp;AQ47)</f>
        <v>7:21</v>
      </c>
      <c r="AA47" s="236"/>
      <c r="AB47" s="237"/>
      <c r="AC47" s="237"/>
      <c r="AD47" s="238"/>
      <c r="AE47" s="24"/>
      <c r="AF47" s="24"/>
      <c r="AG47" s="37" t="s">
        <v>17</v>
      </c>
      <c r="AH47" s="45">
        <f>IF(ISBLANK(S47),"",VLOOKUP(S47,'[1]plan_gier'!$X:$AN,12,FALSE))</f>
        <v>14</v>
      </c>
      <c r="AI47" s="46">
        <f>IF(ISBLANK(S47),"",VLOOKUP(S47,'[1]plan_gier'!$X:$AN,13,FALSE))</f>
        <v>21</v>
      </c>
      <c r="AJ47" s="46">
        <f>IF(ISBLANK(S47),"",VLOOKUP(S47,'[1]plan_gier'!$X:$AN,14,FALSE))</f>
        <v>7</v>
      </c>
      <c r="AK47" s="46">
        <f>IF(ISBLANK(S47),"",VLOOKUP(S47,'[1]plan_gier'!$X:$AN,15,FALSE))</f>
        <v>21</v>
      </c>
      <c r="AL47" s="46">
        <f>IF(ISBLANK(S47),"",VLOOKUP(S47,'[1]plan_gier'!$X:$AN,16,FALSE))</f>
        <v>0</v>
      </c>
      <c r="AM47" s="46">
        <f>IF(ISBLANK(S47),"",VLOOKUP(S47,'[1]plan_gier'!$X:$AN,17,FALSE))</f>
        <v>0</v>
      </c>
      <c r="AN47" s="59">
        <f t="shared" si="7"/>
        <v>14</v>
      </c>
      <c r="AO47" s="60">
        <f t="shared" si="7"/>
        <v>21</v>
      </c>
      <c r="AP47" s="60">
        <f t="shared" si="7"/>
        <v>7</v>
      </c>
      <c r="AQ47" s="60">
        <f t="shared" si="7"/>
        <v>21</v>
      </c>
      <c r="AR47" s="60">
        <f t="shared" si="7"/>
        <v>0</v>
      </c>
      <c r="AS47" s="61">
        <f t="shared" si="7"/>
        <v>0</v>
      </c>
      <c r="AT47" s="48">
        <f t="shared" si="8"/>
        <v>63</v>
      </c>
      <c r="AU47" s="49">
        <v>2</v>
      </c>
      <c r="AV47" s="59">
        <f>IF(AH51&lt;AI51,1,0)+IF(AJ51&lt;AK51,1,0)+IF(AL51&lt;AM51,1,0)</f>
        <v>0</v>
      </c>
      <c r="AW47" s="60">
        <f>AX46</f>
        <v>2</v>
      </c>
      <c r="AX47" s="62"/>
      <c r="AY47" s="63"/>
      <c r="AZ47" s="60">
        <f>IF(AH49&gt;AI49,1,0)+IF(AJ49&gt;AK49,1,0)+IF(AL49&gt;AM49,1,0)</f>
        <v>2</v>
      </c>
      <c r="BA47" s="60">
        <f>AX48</f>
        <v>0</v>
      </c>
      <c r="BB47" s="64">
        <f>IF(AH47&gt;AI47,1,0)+IF(AJ47&gt;AK47,1,0)+IF(AL47&gt;AM47,1,0)</f>
        <v>0</v>
      </c>
      <c r="BC47" s="65">
        <f>AX49</f>
        <v>2</v>
      </c>
      <c r="BD47" s="59">
        <f>AN47+AP47+AR47+AN49+AP49+AR49+AO51+AQ51+AS51</f>
        <v>98</v>
      </c>
      <c r="BE47" s="65">
        <f>AO47+AQ47+AS47+AO49+AQ49+AS49+AN51+AP51+AR51</f>
        <v>112</v>
      </c>
      <c r="BF47" s="59">
        <f>AV47+AZ47+BB47</f>
        <v>2</v>
      </c>
      <c r="BG47" s="61">
        <f>AW47+BA47+BC47</f>
        <v>4</v>
      </c>
      <c r="BH47" s="59">
        <f>IF(AV47&gt;AW47,1,0)+IF(AZ47&gt;BA47,1,0)+IF(BB47&gt;BC47,1,0)</f>
        <v>1</v>
      </c>
      <c r="BI47" s="61">
        <f>IF(AW47&gt;AV47,1,0)+IF(BA47&gt;AZ47,1,0)+IF(BC47&gt;BB47,1,0)</f>
        <v>2</v>
      </c>
      <c r="BJ47" s="66">
        <f>IF(BH47+BI47=0,"",IF(BK47=MAX(BK46:BK49),1,IF(BK47=LARGE(BK46:BK49,2),2,IF(BK47=MIN(BK46:BK49),4,3))))</f>
        <v>3</v>
      </c>
      <c r="BK47" s="55">
        <f>IF(BH47+BI47&lt;&gt;0,BH47-BI47+(BF47-BG47)/100+(BD47-BE47)/10000,-3)</f>
        <v>-1.0214</v>
      </c>
    </row>
    <row r="48" spans="1:63" ht="11.25" customHeight="1">
      <c r="A48" s="11">
        <f t="shared" si="6"/>
        <v>15</v>
      </c>
      <c r="B48" s="11" t="str">
        <f>IF(N44="","",N44)</f>
        <v>s0028</v>
      </c>
      <c r="C48" s="11">
        <f>IF(N45="","",N45)</f>
      </c>
      <c r="D48" s="11" t="str">
        <f>IF(N53="","",N53)</f>
        <v>S0035</v>
      </c>
      <c r="E48" s="11">
        <f>IF(N54="","",N54)</f>
      </c>
      <c r="I48" s="2" t="str">
        <f>"3"&amp;O42&amp;N43</f>
        <v>34Beginners</v>
      </c>
      <c r="J48" s="2" t="str">
        <f>IF(AD49="","",IF(AD43=3,N44,IF(AD46=3,N47,IF(AD49=3,N50,IF(AD52=3,N53,"")))))</f>
        <v>s0032</v>
      </c>
      <c r="K48" s="2">
        <f>IF(AD49="","",IF(AD43=3,N45,IF(AD46=3,N48,IF(AD49=3,N51,IF(AD52=3,N54,"")))))</f>
        <v>0</v>
      </c>
      <c r="L48" s="2"/>
      <c r="M48" s="2" t="str">
        <f>N43</f>
        <v>Beginners</v>
      </c>
      <c r="N48" s="32"/>
      <c r="O48" s="31"/>
      <c r="P48" s="31"/>
      <c r="Q48" s="36">
        <f>IF(AT48&gt;0,"",IF(A48=0,"",IF(VLOOKUP(A48,'[1]plan_gier'!A:S,19,FALSE)="","",VLOOKUP(A48,'[1]plan_gier'!A:S,19,FALSE))))</f>
      </c>
      <c r="R48" s="37" t="s">
        <v>18</v>
      </c>
      <c r="S48" s="38">
        <v>15</v>
      </c>
      <c r="T48" s="236"/>
      <c r="U48" s="231">
        <f>IF(N48&lt;&gt;"",CONCATENATE(VLOOKUP(N48,'[1]zawodnicy'!$A:$E,1,FALSE)," ",VLOOKUP(N48,'[1]zawodnicy'!$A:$E,2,FALSE)," ",VLOOKUP(N48,'[1]zawodnicy'!$A:$E,3,FALSE)," - ",VLOOKUP(N48,'[1]zawodnicy'!$A:$E,4,FALSE)),"")</f>
      </c>
      <c r="V48" s="231"/>
      <c r="W48" s="67">
        <f>IF(SUM(AR51:AS51)=0,"",AS51&amp;":"&amp;AR51)</f>
      </c>
      <c r="X48" s="57"/>
      <c r="Y48" s="33">
        <f>IF(SUM(AR49:AS49)=0,"",AR49&amp;":"&amp;AS49)</f>
      </c>
      <c r="Z48" s="68">
        <f>IF(SUM(AR47:AS47)=0,"",AR47&amp;":"&amp;AS47)</f>
      </c>
      <c r="AA48" s="236"/>
      <c r="AB48" s="237"/>
      <c r="AC48" s="237"/>
      <c r="AD48" s="238"/>
      <c r="AE48" s="24"/>
      <c r="AF48" s="24"/>
      <c r="AG48" s="37" t="s">
        <v>18</v>
      </c>
      <c r="AH48" s="45">
        <f>IF(ISBLANK(S48),"",VLOOKUP(S48,'[1]plan_gier'!$X:$AN,12,FALSE))</f>
        <v>21</v>
      </c>
      <c r="AI48" s="46">
        <f>IF(ISBLANK(S48),"",VLOOKUP(S48,'[1]plan_gier'!$X:$AN,13,FALSE))</f>
        <v>11</v>
      </c>
      <c r="AJ48" s="46">
        <f>IF(ISBLANK(S48),"",VLOOKUP(S48,'[1]plan_gier'!$X:$AN,14,FALSE))</f>
        <v>21</v>
      </c>
      <c r="AK48" s="46">
        <f>IF(ISBLANK(S48),"",VLOOKUP(S48,'[1]plan_gier'!$X:$AN,15,FALSE))</f>
        <v>17</v>
      </c>
      <c r="AL48" s="46">
        <f>IF(ISBLANK(S48),"",VLOOKUP(S48,'[1]plan_gier'!$X:$AN,16,FALSE))</f>
        <v>0</v>
      </c>
      <c r="AM48" s="46">
        <f>IF(ISBLANK(S48),"",VLOOKUP(S48,'[1]plan_gier'!$X:$AN,17,FALSE))</f>
        <v>0</v>
      </c>
      <c r="AN48" s="59">
        <f t="shared" si="7"/>
        <v>21</v>
      </c>
      <c r="AO48" s="60">
        <f t="shared" si="7"/>
        <v>11</v>
      </c>
      <c r="AP48" s="60">
        <f t="shared" si="7"/>
        <v>21</v>
      </c>
      <c r="AQ48" s="60">
        <f t="shared" si="7"/>
        <v>17</v>
      </c>
      <c r="AR48" s="60">
        <f t="shared" si="7"/>
        <v>0</v>
      </c>
      <c r="AS48" s="61">
        <f t="shared" si="7"/>
        <v>0</v>
      </c>
      <c r="AT48" s="48">
        <f t="shared" si="8"/>
        <v>70</v>
      </c>
      <c r="AU48" s="49">
        <v>3</v>
      </c>
      <c r="AV48" s="59">
        <f>IF(AH46&lt;AI46,1,0)+IF(AJ46&lt;AK46,1,0)+IF(AL46&lt;AM46,1,0)</f>
        <v>0</v>
      </c>
      <c r="AW48" s="60">
        <f>AZ46</f>
        <v>2</v>
      </c>
      <c r="AX48" s="60">
        <f>IF(AH49&lt;AI49,1,0)+IF(AJ49&lt;AK49,1,0)+IF(AL49&lt;AM49,1,0)</f>
        <v>0</v>
      </c>
      <c r="AY48" s="60">
        <f>AZ47</f>
        <v>2</v>
      </c>
      <c r="AZ48" s="62"/>
      <c r="BA48" s="63"/>
      <c r="BB48" s="60">
        <f>IF(AH50&gt;AI50,1,0)+IF(AJ50&gt;AK50,1,0)+IF(AL50&gt;AM50,1,0)</f>
        <v>0</v>
      </c>
      <c r="BC48" s="65">
        <f>AZ49</f>
        <v>2</v>
      </c>
      <c r="BD48" s="69">
        <f>AO46+AQ46+AS46+AO49+AQ49+AS49+AN50+AP50+AR50</f>
        <v>52</v>
      </c>
      <c r="BE48" s="70">
        <f>AN46+AP46+AR46+AN49+AP49+AR49+AO50+AQ50+AS50</f>
        <v>126</v>
      </c>
      <c r="BF48" s="69">
        <f>AV48+AX48+BB48</f>
        <v>0</v>
      </c>
      <c r="BG48" s="71">
        <f>AW48+AY48+BC48</f>
        <v>6</v>
      </c>
      <c r="BH48" s="59">
        <f>IF(AV48&gt;AW48,1,0)+IF(AX48&gt;AY48,1,0)+IF(BB48&gt;BC48,1,0)</f>
        <v>0</v>
      </c>
      <c r="BI48" s="61">
        <f>IF(AW48&gt;AV48,1,0)+IF(AY48&gt;AX48,1,0)+IF(BC48&gt;BB48,1,0)</f>
        <v>3</v>
      </c>
      <c r="BJ48" s="66">
        <f>IF(BH48+BI48=0,"",IF(BK48=MAX(BK46:BK49),1,IF(BK48=LARGE(BK46:BK49,2),2,IF(BK48=MIN(BK46:BK49),4,3))))</f>
        <v>4</v>
      </c>
      <c r="BK48" s="55">
        <f>IF(BH48+BI48&lt;&gt;0,BH48-BI48+(BF48-BG48)/100+(BD48-BE48)/10000,-3)</f>
        <v>-3.0674</v>
      </c>
    </row>
    <row r="49" spans="1:63" ht="11.25" customHeight="1" thickBot="1">
      <c r="A49" s="11">
        <f t="shared" si="6"/>
        <v>58</v>
      </c>
      <c r="B49" s="11" t="str">
        <f>IF(N47="","",N47)</f>
        <v>s0032</v>
      </c>
      <c r="C49" s="11">
        <f>IF(N48="","",N48)</f>
      </c>
      <c r="D49" s="11" t="str">
        <f>IF(N50="","",N50)</f>
        <v>g0016</v>
      </c>
      <c r="E49" s="11">
        <f>IF(N51="","",N51)</f>
      </c>
      <c r="J49" s="2"/>
      <c r="K49" s="31"/>
      <c r="L49" s="31"/>
      <c r="M49" s="2" t="str">
        <f>N43</f>
        <v>Beginners</v>
      </c>
      <c r="O49" s="31"/>
      <c r="P49" s="31"/>
      <c r="Q49" s="36">
        <f>IF(AT49&gt;0,"",IF(A49=0,"",IF(VLOOKUP(A49,'[1]plan_gier'!A:S,19,FALSE)="","",VLOOKUP(A49,'[1]plan_gier'!A:S,19,FALSE))))</f>
      </c>
      <c r="R49" s="37" t="s">
        <v>19</v>
      </c>
      <c r="S49" s="38">
        <v>58</v>
      </c>
      <c r="T49" s="236">
        <v>3</v>
      </c>
      <c r="U49" s="233">
        <f>IF(AND(N50&lt;&gt;"",N51&lt;&gt;""),CONCATENATE(VLOOKUP(N50,'[1]zawodnicy'!$A:$E,1,FALSE)," ",VLOOKUP(N50,'[1]zawodnicy'!$A:$E,2,FALSE)," ",VLOOKUP(N50,'[1]zawodnicy'!$A:$E,3,FALSE)," - ",VLOOKUP(N50,'[1]zawodnicy'!$A:$E,4,FALSE)),"")</f>
      </c>
      <c r="V49" s="233"/>
      <c r="W49" s="39" t="str">
        <f>IF(SUM(AN46:AO46)=0,"",AO46&amp;":"&amp;AN46)</f>
        <v>6:21</v>
      </c>
      <c r="X49" s="41" t="str">
        <f>IF(SUM(AN49:AO49)=0,"",AO49&amp;":"&amp;AN49)</f>
        <v>11:21</v>
      </c>
      <c r="Y49" s="72"/>
      <c r="Z49" s="42" t="str">
        <f>IF(SUM(AN50:AO50)=0,"",AN50&amp;":"&amp;AO50)</f>
        <v>4:21</v>
      </c>
      <c r="AA49" s="236" t="str">
        <f>IF(SUM(AV48:AY48,BB48:BC48)=0,"",BD48&amp;":"&amp;BE48)</f>
        <v>52:126</v>
      </c>
      <c r="AB49" s="237" t="str">
        <f>IF(SUM(AV48:AY48,BB48:BC48)=0,"",BF48&amp;":"&amp;BG48)</f>
        <v>0:6</v>
      </c>
      <c r="AC49" s="237" t="str">
        <f>IF(SUM(AV48:AY48,BB48:BC48)=0,"",BH48&amp;":"&amp;BI48)</f>
        <v>0:3</v>
      </c>
      <c r="AD49" s="238">
        <f>IF(SUM(BH46:BH49)&gt;0,BJ48,"")</f>
        <v>4</v>
      </c>
      <c r="AE49" s="24"/>
      <c r="AF49" s="24"/>
      <c r="AG49" s="37" t="s">
        <v>19</v>
      </c>
      <c r="AH49" s="45">
        <f>IF(ISBLANK(S49),"",VLOOKUP(S49,'[1]plan_gier'!$X:$AN,12,FALSE))</f>
        <v>21</v>
      </c>
      <c r="AI49" s="46">
        <f>IF(ISBLANK(S49),"",VLOOKUP(S49,'[1]plan_gier'!$X:$AN,13,FALSE))</f>
        <v>11</v>
      </c>
      <c r="AJ49" s="46">
        <f>IF(ISBLANK(S49),"",VLOOKUP(S49,'[1]plan_gier'!$X:$AN,14,FALSE))</f>
        <v>21</v>
      </c>
      <c r="AK49" s="46">
        <f>IF(ISBLANK(S49),"",VLOOKUP(S49,'[1]plan_gier'!$X:$AN,15,FALSE))</f>
        <v>17</v>
      </c>
      <c r="AL49" s="46">
        <f>IF(ISBLANK(S49),"",VLOOKUP(S49,'[1]plan_gier'!$X:$AN,16,FALSE))</f>
        <v>0</v>
      </c>
      <c r="AM49" s="46">
        <f>IF(ISBLANK(S49),"",VLOOKUP(S49,'[1]plan_gier'!$X:$AN,17,FALSE))</f>
        <v>0</v>
      </c>
      <c r="AN49" s="59">
        <f t="shared" si="7"/>
        <v>21</v>
      </c>
      <c r="AO49" s="60">
        <f t="shared" si="7"/>
        <v>11</v>
      </c>
      <c r="AP49" s="60">
        <f t="shared" si="7"/>
        <v>21</v>
      </c>
      <c r="AQ49" s="60">
        <f t="shared" si="7"/>
        <v>17</v>
      </c>
      <c r="AR49" s="60">
        <f t="shared" si="7"/>
        <v>0</v>
      </c>
      <c r="AS49" s="61">
        <f t="shared" si="7"/>
        <v>0</v>
      </c>
      <c r="AT49" s="48">
        <f t="shared" si="8"/>
        <v>70</v>
      </c>
      <c r="AU49" s="49">
        <v>4</v>
      </c>
      <c r="AV49" s="73">
        <f>IF(AH48&lt;AI48,1,0)+IF(AJ48&lt;AK48,1,0)+IF(AL48&lt;AM48,1,0)</f>
        <v>0</v>
      </c>
      <c r="AW49" s="74">
        <f>BB46</f>
        <v>2</v>
      </c>
      <c r="AX49" s="74">
        <f>IF(AH47&lt;AI47,1,0)+IF(AJ47&lt;AK47,1,0)+IF(AL47&lt;AM47,1,0)</f>
        <v>2</v>
      </c>
      <c r="AY49" s="74">
        <f>BB47</f>
        <v>0</v>
      </c>
      <c r="AZ49" s="75">
        <f>IF(AH50&lt;AI50,1,0)+IF(AJ50&lt;AK50,1,0)+IF(AL50&lt;AM50,1,0)</f>
        <v>2</v>
      </c>
      <c r="BA49" s="75">
        <f>BB48</f>
        <v>0</v>
      </c>
      <c r="BB49" s="76"/>
      <c r="BC49" s="77"/>
      <c r="BD49" s="78">
        <f>AO47+AQ47+AS47+AO48+AQ48+AS48+AO50+AQ50+AS50</f>
        <v>112</v>
      </c>
      <c r="BE49" s="79">
        <f>AN47+AP47+AR47+AN48+AP48+AR48+AN50+AP50+AR50</f>
        <v>76</v>
      </c>
      <c r="BF49" s="78">
        <f>AV49+AX49+AZ49</f>
        <v>4</v>
      </c>
      <c r="BG49" s="80">
        <f>AW49+AY49+BA49</f>
        <v>2</v>
      </c>
      <c r="BH49" s="78">
        <f>IF(AV49&gt;AW49,1,0)+IF(AX49&gt;AY49,1,0)+IF(AZ49&gt;BA49,1,0)</f>
        <v>2</v>
      </c>
      <c r="BI49" s="80">
        <f>IF(AW49&gt;AV49,1,0)+IF(AY49&gt;AX49,1,0)+IF(BA49&gt;AZ49,1,0)</f>
        <v>1</v>
      </c>
      <c r="BJ49" s="81">
        <f>IF(BH49+BI49=0,"",IF(BK49=MAX(BK46:BK49),1,IF(BK49=LARGE(BK46:BK49,2),2,IF(BK49=MIN(BK46:BK49),4,3))))</f>
        <v>2</v>
      </c>
      <c r="BK49" s="55">
        <f>IF(BH49+BI49&lt;&gt;0,BH49-BI49+(BF49-BG49)/100+(BD49-BE49)/10000,-3)</f>
        <v>1.0236</v>
      </c>
    </row>
    <row r="50" spans="1:63" ht="11.25" customHeight="1">
      <c r="A50" s="11">
        <f t="shared" si="6"/>
        <v>59</v>
      </c>
      <c r="B50" s="11" t="str">
        <f>IF(N50="","",N50)</f>
        <v>g0016</v>
      </c>
      <c r="C50" s="11">
        <f>IF(N51="","",N51)</f>
      </c>
      <c r="D50" s="11" t="str">
        <f>IF(N53="","",N53)</f>
        <v>S0035</v>
      </c>
      <c r="E50" s="11">
        <f>IF(N54="","",N54)</f>
      </c>
      <c r="I50" s="2" t="str">
        <f>"4"&amp;O42&amp;N43</f>
        <v>44Beginners</v>
      </c>
      <c r="J50" s="2" t="str">
        <f>IF(AD52="","",IF(AD43=4,N44,IF(AD46=4,N47,IF(AD49=4,N50,IF(AD52=4,N53,"")))))</f>
        <v>g0016</v>
      </c>
      <c r="K50" s="2">
        <f>IF(AD52="","",IF(AD43=4,N45,IF(AD46=4,N48,IF(AD49=4,N51,IF(AD52=4,N54,"")))))</f>
        <v>0</v>
      </c>
      <c r="L50" s="2"/>
      <c r="M50" s="2" t="str">
        <f>N43</f>
        <v>Beginners</v>
      </c>
      <c r="N50" s="29" t="s">
        <v>32</v>
      </c>
      <c r="O50" s="30">
        <f>IF(O42&gt;0,(O42&amp;3)*1,"")</f>
        <v>43</v>
      </c>
      <c r="Q50" s="36">
        <f>IF(AT50&gt;0,"",IF(A50=0,"",IF(VLOOKUP(A50,'[1]plan_gier'!A:S,19,FALSE)="","",VLOOKUP(A50,'[1]plan_gier'!A:S,19,FALSE))))</f>
      </c>
      <c r="R50" s="37" t="s">
        <v>21</v>
      </c>
      <c r="S50" s="38">
        <v>59</v>
      </c>
      <c r="T50" s="236"/>
      <c r="U50" s="228" t="str">
        <f>IF(AND(N50&lt;&gt;"",N51=""),CONCATENATE(VLOOKUP(N50,'[1]zawodnicy'!$A:$E,1,FALSE)," ",VLOOKUP(N50,'[1]zawodnicy'!$A:$E,2,FALSE)," ",VLOOKUP(N50,'[1]zawodnicy'!$A:$E,3,FALSE)," - ",VLOOKUP(N50,'[1]zawodnicy'!$A:$E,4,FALSE)),"")</f>
        <v>G0016 Wiktoria GRĄDZKA - Mielec</v>
      </c>
      <c r="V50" s="228"/>
      <c r="W50" s="56" t="str">
        <f>IF(SUM(AP46:AQ46)=0,"",AQ46&amp;":"&amp;AP46)</f>
        <v>5:21</v>
      </c>
      <c r="X50" s="27" t="str">
        <f>IF(SUM(AP49:AQ49)=0,"",AQ49&amp;":"&amp;AP49)</f>
        <v>17:21</v>
      </c>
      <c r="Y50" s="82"/>
      <c r="Z50" s="58" t="str">
        <f>IF(SUM(AP50:AQ50)=0,"",AP50&amp;":"&amp;AQ50)</f>
        <v>9:21</v>
      </c>
      <c r="AA50" s="236"/>
      <c r="AB50" s="237"/>
      <c r="AC50" s="237"/>
      <c r="AD50" s="238"/>
      <c r="AE50" s="24"/>
      <c r="AF50" s="24"/>
      <c r="AG50" s="37" t="s">
        <v>21</v>
      </c>
      <c r="AH50" s="45">
        <f>IF(ISBLANK(S50),"",VLOOKUP(S50,'[1]plan_gier'!$X:$AN,12,FALSE))</f>
        <v>4</v>
      </c>
      <c r="AI50" s="46">
        <f>IF(ISBLANK(S50),"",VLOOKUP(S50,'[1]plan_gier'!$X:$AN,13,FALSE))</f>
        <v>21</v>
      </c>
      <c r="AJ50" s="46">
        <f>IF(ISBLANK(S50),"",VLOOKUP(S50,'[1]plan_gier'!$X:$AN,14,FALSE))</f>
        <v>9</v>
      </c>
      <c r="AK50" s="46">
        <f>IF(ISBLANK(S50),"",VLOOKUP(S50,'[1]plan_gier'!$X:$AN,15,FALSE))</f>
        <v>21</v>
      </c>
      <c r="AL50" s="46">
        <f>IF(ISBLANK(S50),"",VLOOKUP(S50,'[1]plan_gier'!$X:$AN,16,FALSE))</f>
        <v>0</v>
      </c>
      <c r="AM50" s="46">
        <f>IF(ISBLANK(S50),"",VLOOKUP(S50,'[1]plan_gier'!$X:$AN,17,FALSE))</f>
        <v>0</v>
      </c>
      <c r="AN50" s="59">
        <f t="shared" si="7"/>
        <v>4</v>
      </c>
      <c r="AO50" s="60">
        <f t="shared" si="7"/>
        <v>21</v>
      </c>
      <c r="AP50" s="60">
        <f t="shared" si="7"/>
        <v>9</v>
      </c>
      <c r="AQ50" s="60">
        <f t="shared" si="7"/>
        <v>21</v>
      </c>
      <c r="AR50" s="60">
        <f t="shared" si="7"/>
        <v>0</v>
      </c>
      <c r="AS50" s="61">
        <f t="shared" si="7"/>
        <v>0</v>
      </c>
      <c r="AT50" s="48">
        <f t="shared" si="8"/>
        <v>55</v>
      </c>
      <c r="BD50" s="11">
        <f aca="true" t="shared" si="9" ref="BD50:BI50">SUM(BD46:BD49)</f>
        <v>388</v>
      </c>
      <c r="BE50" s="11">
        <f t="shared" si="9"/>
        <v>388</v>
      </c>
      <c r="BF50" s="11">
        <f t="shared" si="9"/>
        <v>12</v>
      </c>
      <c r="BG50" s="11">
        <f t="shared" si="9"/>
        <v>12</v>
      </c>
      <c r="BH50" s="11">
        <f t="shared" si="9"/>
        <v>6</v>
      </c>
      <c r="BI50" s="11">
        <f t="shared" si="9"/>
        <v>6</v>
      </c>
      <c r="BK50" s="12">
        <f>SUM(BK46:BK49)</f>
        <v>0</v>
      </c>
    </row>
    <row r="51" spans="1:46" ht="11.25" customHeight="1" thickBot="1">
      <c r="A51" s="11">
        <f t="shared" si="6"/>
        <v>60</v>
      </c>
      <c r="B51" s="11" t="str">
        <f>IF(N44="","",N44)</f>
        <v>s0028</v>
      </c>
      <c r="C51" s="11">
        <f>IF(N45="","",N45)</f>
      </c>
      <c r="D51" s="11" t="str">
        <f>IF(N47="","",N47)</f>
        <v>s0032</v>
      </c>
      <c r="E51" s="11">
        <f>IF(N48="","",N48)</f>
      </c>
      <c r="J51" s="31"/>
      <c r="K51" s="31"/>
      <c r="L51" s="31"/>
      <c r="M51" s="2" t="str">
        <f>N43</f>
        <v>Beginners</v>
      </c>
      <c r="N51" s="32"/>
      <c r="O51" s="31"/>
      <c r="P51" s="31"/>
      <c r="Q51" s="36">
        <f>IF(AT51&gt;0,"",IF(A51=0,"",IF(VLOOKUP(A51,'[1]plan_gier'!A:S,19,FALSE)="","",VLOOKUP(A51,'[1]plan_gier'!A:S,19,FALSE))))</f>
      </c>
      <c r="R51" s="37" t="s">
        <v>22</v>
      </c>
      <c r="S51" s="38">
        <v>60</v>
      </c>
      <c r="T51" s="236"/>
      <c r="U51" s="231">
        <f>IF(N51&lt;&gt;"",CONCATENATE(VLOOKUP(N51,'[1]zawodnicy'!$A:$E,1,FALSE)," ",VLOOKUP(N51,'[1]zawodnicy'!$A:$E,2,FALSE)," ",VLOOKUP(N51,'[1]zawodnicy'!$A:$E,3,FALSE)," - ",VLOOKUP(N51,'[1]zawodnicy'!$A:$E,4,FALSE)),"")</f>
      </c>
      <c r="V51" s="231"/>
      <c r="W51" s="67">
        <f>IF(SUM(AR46:AS46)=0,"",AS46&amp;":"&amp;AR46)</f>
      </c>
      <c r="X51" s="33">
        <f>IF(SUM(AR49:AS49)=0,"",AS49&amp;":"&amp;AR49)</f>
      </c>
      <c r="Y51" s="82"/>
      <c r="Z51" s="68">
        <f>IF(SUM(AR50:AS50)=0,"",AR50&amp;":"&amp;AS50)</f>
      </c>
      <c r="AA51" s="236"/>
      <c r="AB51" s="237"/>
      <c r="AC51" s="237"/>
      <c r="AD51" s="238"/>
      <c r="AE51" s="24"/>
      <c r="AF51" s="24"/>
      <c r="AG51" s="37" t="s">
        <v>22</v>
      </c>
      <c r="AH51" s="73">
        <f>IF(ISBLANK(S51),"",VLOOKUP(S51,'[1]plan_gier'!$X:$AN,12,FALSE))</f>
        <v>21</v>
      </c>
      <c r="AI51" s="74">
        <f>IF(ISBLANK(S51),"",VLOOKUP(S51,'[1]plan_gier'!$X:$AN,13,FALSE))</f>
        <v>17</v>
      </c>
      <c r="AJ51" s="74">
        <f>IF(ISBLANK(S51),"",VLOOKUP(S51,'[1]plan_gier'!$X:$AN,14,FALSE))</f>
        <v>21</v>
      </c>
      <c r="AK51" s="74">
        <f>IF(ISBLANK(S51),"",VLOOKUP(S51,'[1]plan_gier'!$X:$AN,15,FALSE))</f>
        <v>18</v>
      </c>
      <c r="AL51" s="74">
        <f>IF(ISBLANK(S51),"",VLOOKUP(S51,'[1]plan_gier'!$X:$AN,16,FALSE))</f>
        <v>0</v>
      </c>
      <c r="AM51" s="74">
        <f>IF(ISBLANK(S51),"",VLOOKUP(S51,'[1]plan_gier'!$X:$AN,17,FALSE))</f>
        <v>0</v>
      </c>
      <c r="AN51" s="78">
        <f t="shared" si="7"/>
        <v>21</v>
      </c>
      <c r="AO51" s="75">
        <f t="shared" si="7"/>
        <v>17</v>
      </c>
      <c r="AP51" s="75">
        <f t="shared" si="7"/>
        <v>21</v>
      </c>
      <c r="AQ51" s="75">
        <f t="shared" si="7"/>
        <v>18</v>
      </c>
      <c r="AR51" s="75">
        <f t="shared" si="7"/>
        <v>0</v>
      </c>
      <c r="AS51" s="80">
        <f t="shared" si="7"/>
        <v>0</v>
      </c>
      <c r="AT51" s="48">
        <f t="shared" si="8"/>
        <v>77</v>
      </c>
    </row>
    <row r="52" spans="1:46" ht="11.25" customHeight="1" thickBot="1">
      <c r="A52" s="2"/>
      <c r="J52" s="31"/>
      <c r="K52" s="31"/>
      <c r="L52" s="31"/>
      <c r="O52" s="31"/>
      <c r="P52" s="31"/>
      <c r="Q52" s="2"/>
      <c r="R52" s="2"/>
      <c r="S52" s="2"/>
      <c r="T52" s="232">
        <v>4</v>
      </c>
      <c r="U52" s="233">
        <f>IF(AND(N53&lt;&gt;"",N54&lt;&gt;""),CONCATENATE(VLOOKUP(N53,'[1]zawodnicy'!$A:$E,1,FALSE)," ",VLOOKUP(N53,'[1]zawodnicy'!$A:$E,2,FALSE)," ",VLOOKUP(N53,'[1]zawodnicy'!$A:$E,3,FALSE)," - ",VLOOKUP(N53,'[1]zawodnicy'!$A:$E,4,FALSE)),"")</f>
      </c>
      <c r="V52" s="233"/>
      <c r="W52" s="39" t="str">
        <f>IF(SUM(AN48:AO48)=0,"",AO48&amp;":"&amp;AN48)</f>
        <v>11:21</v>
      </c>
      <c r="X52" s="41" t="str">
        <f>IF(SUM(AN47:AO47)=0,"",AO47&amp;":"&amp;AN47)</f>
        <v>21:14</v>
      </c>
      <c r="Y52" s="41" t="str">
        <f>IF(SUM(AN50:AO50)=0,"",AO50&amp;":"&amp;AN50)</f>
        <v>21:4</v>
      </c>
      <c r="Z52" s="83"/>
      <c r="AA52" s="232" t="str">
        <f>IF(SUM(AV49:BA49)=0,"",BD49&amp;":"&amp;BE49)</f>
        <v>112:76</v>
      </c>
      <c r="AB52" s="234" t="str">
        <f>IF(SUM(AV49:BA49)=0,"",BF49&amp;":"&amp;BG49)</f>
        <v>4:2</v>
      </c>
      <c r="AC52" s="234" t="str">
        <f>IF(SUM(AV49:BA49)=0,"",BH49&amp;":"&amp;BI49)</f>
        <v>2:1</v>
      </c>
      <c r="AD52" s="227">
        <f>IF(SUM(BH46:BH49)&gt;0,BJ49,"")</f>
        <v>2</v>
      </c>
      <c r="AE52" s="24"/>
      <c r="AF52" s="24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63" ht="11.25" customHeight="1" thickBot="1">
      <c r="A53" s="11"/>
      <c r="B53" s="11"/>
      <c r="C53" s="11"/>
      <c r="D53" s="11"/>
      <c r="E53" s="11"/>
      <c r="J53" s="11"/>
      <c r="K53" s="11"/>
      <c r="L53" s="11"/>
      <c r="N53" s="29" t="s">
        <v>33</v>
      </c>
      <c r="O53" s="30">
        <f>IF(O42&gt;0,(O42&amp;4)*1,"")</f>
        <v>44</v>
      </c>
      <c r="Q53" s="10"/>
      <c r="R53" s="10"/>
      <c r="S53" s="84"/>
      <c r="T53" s="232"/>
      <c r="U53" s="228" t="str">
        <f>IF(AND(N53&lt;&gt;"",N54=""),CONCATENATE(VLOOKUP(N53,'[1]zawodnicy'!$A:$E,1,FALSE)," ",VLOOKUP(N53,'[1]zawodnicy'!$A:$E,2,FALSE)," ",VLOOKUP(N53,'[1]zawodnicy'!$A:$E,3,FALSE)," - ",VLOOKUP(N53,'[1]zawodnicy'!$A:$E,4,FALSE)),"")</f>
        <v>S0035 Kuba SITEK - Rzeszów</v>
      </c>
      <c r="V53" s="228"/>
      <c r="W53" s="56" t="str">
        <f>IF(SUM(AP48:AQ48)=0,"",AQ48&amp;":"&amp;AP48)</f>
        <v>17:21</v>
      </c>
      <c r="X53" s="27" t="str">
        <f>IF(SUM(AP47:AQ47)=0,"",AQ47&amp;":"&amp;AP47)</f>
        <v>21:7</v>
      </c>
      <c r="Y53" s="27" t="str">
        <f>IF(SUM(AP50:AQ50)=0,"",AQ50&amp;":"&amp;AP50)</f>
        <v>21:9</v>
      </c>
      <c r="Z53" s="85"/>
      <c r="AA53" s="232"/>
      <c r="AB53" s="234"/>
      <c r="AC53" s="234"/>
      <c r="AD53" s="227"/>
      <c r="AE53" s="24"/>
      <c r="AF53" s="24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11.25" customHeight="1" thickBot="1">
      <c r="A54" s="2"/>
      <c r="J54" s="31"/>
      <c r="K54" s="31"/>
      <c r="L54" s="31"/>
      <c r="N54" s="32"/>
      <c r="O54" s="31"/>
      <c r="P54" s="31"/>
      <c r="Q54" s="2"/>
      <c r="R54" s="2"/>
      <c r="S54" s="2"/>
      <c r="T54" s="232"/>
      <c r="U54" s="229">
        <f>IF(N54&lt;&gt;"",CONCATENATE(VLOOKUP(N54,'[1]zawodnicy'!$A:$E,1,FALSE)," ",VLOOKUP(N54,'[1]zawodnicy'!$A:$E,2,FALSE)," ",VLOOKUP(N54,'[1]zawodnicy'!$A:$E,3,FALSE)," - ",VLOOKUP(N54,'[1]zawodnicy'!$A:$E,4,FALSE)),"")</f>
      </c>
      <c r="V54" s="229"/>
      <c r="W54" s="86">
        <f>IF(SUM(AR48:AS48)=0,"",AS48&amp;":"&amp;AR48)</f>
      </c>
      <c r="X54" s="87">
        <f>IF(SUM(AR47:AS47)=0,"",AS47&amp;":"&amp;AR47)</f>
      </c>
      <c r="Y54" s="87">
        <f>IF(SUM(AR50:AS50)=0,"",AS50&amp;":"&amp;AR50)</f>
      </c>
      <c r="Z54" s="88"/>
      <c r="AA54" s="232"/>
      <c r="AB54" s="234"/>
      <c r="AC54" s="234"/>
      <c r="AD54" s="227"/>
      <c r="AE54" s="24"/>
      <c r="AF54" s="24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0:63" ht="12" customHeight="1">
      <c r="J55" s="3"/>
      <c r="K55" s="3"/>
      <c r="L55" s="3"/>
      <c r="N55" s="4"/>
      <c r="O55" s="3"/>
      <c r="P55" s="3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6"/>
    </row>
    <row r="56" ht="11.25" customHeight="1"/>
    <row r="57" ht="11.25" customHeight="1">
      <c r="U57" s="49" t="s">
        <v>34</v>
      </c>
    </row>
    <row r="58" spans="10:32" ht="11.25" customHeight="1">
      <c r="J58" s="2"/>
      <c r="N58" s="109" t="s">
        <v>0</v>
      </c>
      <c r="P58" s="110"/>
      <c r="Q58" s="1"/>
      <c r="R58" s="1"/>
      <c r="S58" s="1"/>
      <c r="T58" s="111"/>
      <c r="U58" s="112"/>
      <c r="V58" s="112"/>
      <c r="W58" s="11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1.25" customHeight="1">
      <c r="A59" s="113">
        <f>V59</f>
        <v>16</v>
      </c>
      <c r="B59" s="2" t="str">
        <f>IF(TYPE(S59)=16,"",S59)</f>
        <v>S0029</v>
      </c>
      <c r="D59" s="2" t="str">
        <f>IF(TYPE(S60)=16,"",S60)</f>
        <v>S0035</v>
      </c>
      <c r="F59" s="2" t="str">
        <f>IF(A59=0,IF(AND(LEN(B59)&gt;0,LEN(D59)=0),VLOOKUP(B59,'[1]zawodnicy'!$A:$E,1,FALSE),IF(AND(LEN(D59)&gt;0,LEN(B59)=0),VLOOKUP(D59,'[1]zawodnicy'!$A:$E,1,FALSE),"")),IF((VLOOKUP(A59,'[1]plan_gier'!$X:$AF,7,FALSE))="","",VLOOKUP(VLOOKUP(A59,'[1]plan_gier'!$X:$AF,7,FALSE),'[1]zawodnicy'!$A:$E,1,FALSE)))</f>
        <v>S0029</v>
      </c>
      <c r="H59" s="2" t="str">
        <f>IF(A59=0,"",IF((VLOOKUP(A59,'[1]plan_gier'!$X:$AF,7,FALSE))="","",VLOOKUP(A59,'[1]plan_gier'!$X:$AF,9,FALSE)))</f>
        <v>21:16,21:11</v>
      </c>
      <c r="J59" s="114"/>
      <c r="L59" s="36" t="str">
        <f>IF(A59=0,"",IF(VLOOKUP(A59,'[1]plan_gier'!A:S,19,FALSE)="","",VLOOKUP(A59,'[1]plan_gier'!A:S,19,FALSE)))</f>
        <v>godz.10:00</v>
      </c>
      <c r="M59" s="2" t="str">
        <f>N58</f>
        <v>Beginners</v>
      </c>
      <c r="N59" s="115"/>
      <c r="O59" s="116"/>
      <c r="P59" s="115"/>
      <c r="Q59" s="49" t="s">
        <v>35</v>
      </c>
      <c r="S59" s="259" t="str">
        <f>UPPER(IF((N58=""),"",IF(TYPE(VLOOKUP(1&amp;1&amp;N58,I:J,2,FALSE))=2,VLOOKUP(1&amp;1&amp;N58,I:J,2,FALSE),"")))</f>
        <v>S0029</v>
      </c>
      <c r="T59" s="259"/>
      <c r="U59" s="117" t="str">
        <f>IF(S59&lt;&gt;"",CONCATENATE(VLOOKUP(S59,'[1]zawodnicy'!$A:$E,2,FALSE)," ",VLOOKUP(S59,'[1]zawodnicy'!$A:$E,3,FALSE)," - ",VLOOKUP(S59,'[1]zawodnicy'!$A:$E,4,FALSE)),"")</f>
        <v>Patryk STOLARZ - Mielec</v>
      </c>
      <c r="V59" s="118">
        <v>16</v>
      </c>
      <c r="W59" s="219" t="str">
        <f>IF(ISBLANK(V59),IF(AND(LEN(S59)&gt;0,LEN(S60)=0),VLOOKUP(S59,'[1]zawodnicy'!$A:$E,3,FALSE),IF(AND(LEN(S60)&gt;0,LEN(S59)=0),VLOOKUP(S60,'[1]zawodnicy'!$A:$E,3,FALSE),"")),IF((VLOOKUP(V59,'[1]plan_gier'!$X:$AF,7,FALSE))="","",VLOOKUP(VLOOKUP(V59,'[1]plan_gier'!$X:$AF,7,FALSE),'[1]zawodnicy'!$A:$E,3,FALSE)))</f>
        <v>STOLARZ</v>
      </c>
      <c r="X59" s="219"/>
      <c r="Y59" s="219"/>
      <c r="Z59" s="2"/>
      <c r="AA59" s="2"/>
      <c r="AB59" s="2"/>
      <c r="AC59" s="2"/>
      <c r="AD59" s="2"/>
      <c r="AE59" s="2"/>
      <c r="AF59" s="2"/>
    </row>
    <row r="60" spans="10:32" ht="11.25" customHeight="1">
      <c r="J60" s="114"/>
      <c r="N60" s="115"/>
      <c r="O60" s="116"/>
      <c r="P60" s="115"/>
      <c r="Q60" s="49" t="s">
        <v>36</v>
      </c>
      <c r="S60" s="259" t="str">
        <f>UPPER(IF(N58="","",IF(TYPE(VLOOKUP(2&amp;4&amp;N58,I:J,2,FALSE))=2,VLOOKUP(2&amp;4&amp;N58,I:J,2,FALSE),"")))</f>
        <v>S0035</v>
      </c>
      <c r="T60" s="259"/>
      <c r="U60" s="117" t="str">
        <f>IF(S60&lt;&gt;"",CONCATENATE(VLOOKUP(S60,'[1]zawodnicy'!$A:$E,2,FALSE)," ",VLOOKUP(S60,'[1]zawodnicy'!$A:$E,3,FALSE)," - ",VLOOKUP(S60,'[1]zawodnicy'!$A:$E,4,FALSE)),"")</f>
        <v>Kuba SITEK - Rzeszów</v>
      </c>
      <c r="V60" s="119"/>
      <c r="W60" s="226" t="str">
        <f>IF(ISBLANK(V59),"",IF((VLOOKUP(V59,'[1]plan_gier'!$X:$AF,7,FALSE))="",L59,VLOOKUP(V59,'[1]plan_gier'!$X:$AF,9,FALSE)))</f>
        <v>21:16,21:11</v>
      </c>
      <c r="X60" s="226"/>
      <c r="Y60" s="226"/>
      <c r="Z60" s="2"/>
      <c r="AA60" s="2"/>
      <c r="AB60" s="2"/>
      <c r="AC60" s="2"/>
      <c r="AD60" s="2"/>
      <c r="AE60" s="2"/>
      <c r="AF60" s="2"/>
    </row>
    <row r="61" spans="1:32" ht="11.25" customHeight="1">
      <c r="A61" s="120">
        <f>Y61</f>
        <v>20</v>
      </c>
      <c r="B61" s="2" t="str">
        <f>F59</f>
        <v>S0029</v>
      </c>
      <c r="D61" s="2" t="str">
        <f>F63</f>
        <v>D0008</v>
      </c>
      <c r="F61" s="2" t="str">
        <f>IF(A61=0,IF(AND(LEN(B61)&gt;0,LEN(D61)=0),B61,IF(AND(LEN(D61)&gt;0,LEN(B61)=0),D61,"")),IF((VLOOKUP(A61,'[1]plan_gier'!$X:$AF,7,FALSE))="","",VLOOKUP(VLOOKUP(A61,'[1]plan_gier'!$X:$AF,7,FALSE),'[1]zawodnicy'!$A:$E,1,FALSE)))</f>
        <v>S0029</v>
      </c>
      <c r="H61" s="2" t="str">
        <f>IF(A61=0,"",IF((VLOOKUP(A61,'[1]plan_gier'!$X:$AF,7,FALSE))="","",VLOOKUP(A61,'[1]plan_gier'!$X:$AF,9,FALSE)))</f>
        <v>21:18,16:21,21:11</v>
      </c>
      <c r="J61" s="114"/>
      <c r="L61" s="36" t="str">
        <f>IF(A61=0,"",IF(VLOOKUP(A61,'[1]plan_gier'!A:S,19,FALSE)="","",VLOOKUP(A61,'[1]plan_gier'!A:S,19,FALSE)))</f>
        <v>godz.10:20</v>
      </c>
      <c r="M61" s="2" t="str">
        <f>N58</f>
        <v>Beginners</v>
      </c>
      <c r="N61" s="115"/>
      <c r="O61" s="116"/>
      <c r="P61" s="115"/>
      <c r="S61" s="1"/>
      <c r="T61" s="111"/>
      <c r="U61" s="2"/>
      <c r="V61" s="2"/>
      <c r="W61" s="112"/>
      <c r="X61" s="2"/>
      <c r="Y61" s="121">
        <v>20</v>
      </c>
      <c r="Z61" s="219" t="str">
        <f>IF(ISBLANK(Y61),IF(AND(LEN(W59)&gt;0,LEN(W63)=0),W59,IF(AND(LEN(W63)&gt;0,LEN(W59)=0),W63,"")),IF((VLOOKUP(Y61,'[1]plan_gier'!$X:$AF,7,FALSE))="","",VLOOKUP(VLOOKUP(Y61,'[1]plan_gier'!$X:$AF,7,FALSE),'[1]zawodnicy'!$A:$E,3,FALSE)))</f>
        <v>STOLARZ</v>
      </c>
      <c r="AA61" s="219"/>
      <c r="AB61" s="219"/>
      <c r="AC61" s="2"/>
      <c r="AD61" s="2"/>
      <c r="AE61" s="2"/>
      <c r="AF61" s="2"/>
    </row>
    <row r="62" spans="10:63" ht="11.25" customHeight="1">
      <c r="J62" s="114"/>
      <c r="N62" s="115"/>
      <c r="O62" s="116"/>
      <c r="P62" s="115"/>
      <c r="S62" s="1"/>
      <c r="T62" s="111"/>
      <c r="U62" s="2"/>
      <c r="V62" s="2"/>
      <c r="W62" s="112"/>
      <c r="X62" s="2"/>
      <c r="Y62" s="122"/>
      <c r="Z62" s="226" t="str">
        <f>IF(ISBLANK(Y61),"",IF((VLOOKUP(Y61,'[1]plan_gier'!$X:$AF,7,FALSE))="",L61,VLOOKUP(Y61,'[1]plan_gier'!$X:$AF,9,FALSE)))</f>
        <v>21:18,16:21,21:11</v>
      </c>
      <c r="AA62" s="226"/>
      <c r="AB62" s="226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11.25" customHeight="1">
      <c r="A63" s="113">
        <f>V63</f>
        <v>17</v>
      </c>
      <c r="B63" s="2" t="str">
        <f>IF(TYPE(S63)=16,"",S63)</f>
        <v>D0008</v>
      </c>
      <c r="D63" s="2" t="str">
        <f>IF(TYPE(S64)=16,"",S64)</f>
        <v>M0026</v>
      </c>
      <c r="F63" s="2" t="str">
        <f>IF(A63=0,IF(AND(LEN(B63)&gt;0,LEN(D63)=0),VLOOKUP(B63,'[1]zawodnicy'!$A:$E,1,FALSE),IF(AND(LEN(D63)&gt;0,LEN(B63)=0),VLOOKUP(D63,'[1]zawodnicy'!$A:$E,1,FALSE),"")),IF((VLOOKUP(A63,'[1]plan_gier'!$X:$AF,7,FALSE))="","",VLOOKUP(VLOOKUP(A63,'[1]plan_gier'!$X:$AF,7,FALSE),'[1]zawodnicy'!$A:$E,1,FALSE)))</f>
        <v>D0008</v>
      </c>
      <c r="H63" s="2" t="str">
        <f>IF(A63=0,"",IF((VLOOKUP(A63,'[1]plan_gier'!$X:$AF,7,FALSE))="","",VLOOKUP(A63,'[1]plan_gier'!$X:$AF,9,FALSE)))</f>
        <v>21:12,22:20</v>
      </c>
      <c r="J63" s="114"/>
      <c r="L63" s="36" t="str">
        <f>IF(A63=0,"",IF(VLOOKUP(A63,'[1]plan_gier'!A:S,19,FALSE)="","",VLOOKUP(A63,'[1]plan_gier'!A:S,19,FALSE)))</f>
        <v>godz.10:20</v>
      </c>
      <c r="M63" s="2" t="str">
        <f>N58</f>
        <v>Beginners</v>
      </c>
      <c r="N63" s="115"/>
      <c r="O63" s="116"/>
      <c r="P63" s="115"/>
      <c r="Q63" s="49" t="s">
        <v>37</v>
      </c>
      <c r="S63" s="259" t="str">
        <f>UPPER(IF(N58="","",IF(TYPE(VLOOKUP(1&amp;2&amp;N58,I:J,2,FALSE))=2,VLOOKUP(1&amp;2&amp;N58,I:J,2,FALSE),"")))</f>
        <v>D0008</v>
      </c>
      <c r="T63" s="259"/>
      <c r="U63" s="117" t="str">
        <f>IF(S63&lt;&gt;"",CONCATENATE(VLOOKUP(S63,'[1]zawodnicy'!$A:$E,2,FALSE)," ",VLOOKUP(S63,'[1]zawodnicy'!$A:$E,3,FALSE)," - ",VLOOKUP(S63,'[1]zawodnicy'!$A:$E,4,FALSE)),"")</f>
        <v>Patrycja DOMAŃSKA - Rzeszów</v>
      </c>
      <c r="V63" s="118">
        <v>17</v>
      </c>
      <c r="W63" s="221" t="str">
        <f>IF(ISBLANK(V63),IF(AND(LEN(S63)&gt;0,LEN(S64)=0),VLOOKUP(S63,'[1]zawodnicy'!$A:$E,3,FALSE),IF(AND(LEN(S64)&gt;0,LEN(S63)=0),VLOOKUP(S64,'[1]zawodnicy'!$A:$E,3,FALSE),"")),IF((VLOOKUP(V63,'[1]plan_gier'!$X:$AF,7,FALSE))="","",VLOOKUP(VLOOKUP(V63,'[1]plan_gier'!$X:$AF,7,FALSE),'[1]zawodnicy'!$A:$E,3,FALSE)))</f>
        <v>DOMAŃSKA</v>
      </c>
      <c r="X63" s="221"/>
      <c r="Y63" s="221"/>
      <c r="Z63" s="2"/>
      <c r="AA63" s="2"/>
      <c r="AB63" s="123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0:63" ht="11.25" customHeight="1">
      <c r="J64" s="114"/>
      <c r="N64" s="115"/>
      <c r="O64" s="116"/>
      <c r="P64" s="115"/>
      <c r="Q64" s="49" t="s">
        <v>38</v>
      </c>
      <c r="S64" s="259" t="str">
        <f>UPPER(IF(N58="","",IF(TYPE(VLOOKUP(2&amp;3&amp;N58,I:J,2,FALSE))=2,VLOOKUP(2&amp;3&amp;N58,I:J,2,FALSE),"")))</f>
        <v>M0026</v>
      </c>
      <c r="T64" s="259"/>
      <c r="U64" s="117" t="str">
        <f>IF(S64&lt;&gt;"",CONCATENATE(VLOOKUP(S64,'[1]zawodnicy'!$A:$E,2,FALSE)," ",VLOOKUP(S64,'[1]zawodnicy'!$A:$E,3,FALSE)," - ",VLOOKUP(S64,'[1]zawodnicy'!$A:$E,4,FALSE)),"")</f>
        <v>Wojciech MACHAJ - Mielec</v>
      </c>
      <c r="V64" s="119"/>
      <c r="W64" s="220" t="str">
        <f>IF(ISBLANK(V63),"",IF((VLOOKUP(V63,'[1]plan_gier'!$X:$AF,7,FALSE))="",L63,VLOOKUP(V63,'[1]plan_gier'!$X:$AF,9,FALSE)))</f>
        <v>21:12,22:20</v>
      </c>
      <c r="X64" s="220"/>
      <c r="Y64" s="220"/>
      <c r="Z64" s="2"/>
      <c r="AA64" s="2"/>
      <c r="AB64" s="123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31" s="2" customFormat="1" ht="11.25" customHeight="1">
      <c r="A65" s="124">
        <f>AB65</f>
        <v>23</v>
      </c>
      <c r="B65" s="2" t="str">
        <f>F61</f>
        <v>S0029</v>
      </c>
      <c r="D65" s="2" t="str">
        <f>F69</f>
        <v>O0006</v>
      </c>
      <c r="F65" s="2" t="str">
        <f>IF(A65=0,IF(AND(LEN(B65)&gt;0,LEN(D65)=0),B65,IF(AND(LEN(D65)&gt;0,LEN(B65)=0),D65,"")),IF((VLOOKUP(A65,'[1]plan_gier'!$X:$AF,7,FALSE))="","",VLOOKUP(VLOOKUP(A65,'[1]plan_gier'!$X:$AF,7,FALSE),'[1]zawodnicy'!$A:$E,1,FALSE)))</f>
        <v>S0029</v>
      </c>
      <c r="H65" s="2" t="str">
        <f>IF(A65=0,"",IF((VLOOKUP(A65,'[1]plan_gier'!$X:$AF,7,FALSE))="","",VLOOKUP(A65,'[1]plan_gier'!$X:$AF,9,FALSE)))</f>
        <v>21:13,21:18</v>
      </c>
      <c r="J65" s="114"/>
      <c r="K65" s="7"/>
      <c r="L65" s="36" t="str">
        <f>IF(A65=0,"",IF(VLOOKUP(A65,'[1]plan_gier'!A:S,19,FALSE)="","",VLOOKUP(A65,'[1]plan_gier'!A:S,19,FALSE)))</f>
        <v>godz.10:40</v>
      </c>
      <c r="M65" s="2" t="str">
        <f>N58</f>
        <v>Beginners</v>
      </c>
      <c r="N65" s="115"/>
      <c r="O65" s="116"/>
      <c r="P65" s="115"/>
      <c r="Q65" s="49"/>
      <c r="R65" s="49"/>
      <c r="S65" s="1"/>
      <c r="T65" s="111"/>
      <c r="U65" s="112"/>
      <c r="AB65" s="121">
        <v>23</v>
      </c>
      <c r="AC65" s="219" t="str">
        <f>IF(ISBLANK(AB65),IF(AND(LEN(Z61)&gt;0,LEN(Z69)=0),Z61,IF(AND(LEN(Z69)&gt;0,LEN(Z61)=0),Z69,"")),IF((VLOOKUP(AB65,'[1]plan_gier'!$X:$AF,7,FALSE))="","",VLOOKUP(VLOOKUP(AB65,'[1]plan_gier'!$X:$AF,7,FALSE),'[1]zawodnicy'!$A:$E,3,FALSE)))</f>
        <v>STOLARZ</v>
      </c>
      <c r="AD65" s="219"/>
      <c r="AE65" s="219"/>
    </row>
    <row r="66" spans="1:31" s="2" customFormat="1" ht="11.25" customHeight="1">
      <c r="A66" s="1"/>
      <c r="J66" s="114"/>
      <c r="K66" s="7"/>
      <c r="L66" s="7"/>
      <c r="N66" s="115"/>
      <c r="O66" s="116"/>
      <c r="P66" s="115"/>
      <c r="Q66" s="49"/>
      <c r="R66" s="49"/>
      <c r="S66" s="1"/>
      <c r="T66" s="111"/>
      <c r="U66" s="112"/>
      <c r="AB66" s="122"/>
      <c r="AC66" s="220" t="str">
        <f>IF(ISBLANK(AB65),"",IF((VLOOKUP(AB65,'[1]plan_gier'!$X:$AF,7,FALSE))="",L65,VLOOKUP(AB65,'[1]plan_gier'!$X:$AF,9,FALSE)))</f>
        <v>21:13,21:18</v>
      </c>
      <c r="AD66" s="220"/>
      <c r="AE66" s="220"/>
    </row>
    <row r="67" spans="1:28" s="2" customFormat="1" ht="11.25" customHeight="1">
      <c r="A67" s="113">
        <f>V67</f>
        <v>18</v>
      </c>
      <c r="B67" s="2" t="str">
        <f>IF(TYPE(S67)=16,"",S67)</f>
        <v>S0033</v>
      </c>
      <c r="D67" s="2" t="str">
        <f>IF(TYPE(S68)=16,"",S68)</f>
        <v>O0006</v>
      </c>
      <c r="F67" s="2" t="str">
        <f>IF(A67=0,IF(AND(LEN(B67)&gt;0,LEN(D67)=0),VLOOKUP(B67,'[1]zawodnicy'!$A:$E,1,FALSE),IF(AND(LEN(D67)&gt;0,LEN(B67)=0),VLOOKUP(D67,'[1]zawodnicy'!$A:$E,1,FALSE),"")),IF((VLOOKUP(A67,'[1]plan_gier'!$X:$AF,7,FALSE))="","",VLOOKUP(VLOOKUP(A67,'[1]plan_gier'!$X:$AF,7,FALSE),'[1]zawodnicy'!$A:$E,1,FALSE)))</f>
        <v>O0006</v>
      </c>
      <c r="H67" s="2" t="str">
        <f>IF(A67=0,"",IF((VLOOKUP(A67,'[1]plan_gier'!$X:$AF,7,FALSE))="","",VLOOKUP(A67,'[1]plan_gier'!$X:$AF,9,FALSE)))</f>
        <v>22:20,21:11</v>
      </c>
      <c r="J67" s="114"/>
      <c r="K67" s="7"/>
      <c r="L67" s="36" t="str">
        <f>IF(A67=0,"",IF(VLOOKUP(A67,'[1]plan_gier'!A:S,19,FALSE)="","",VLOOKUP(A67,'[1]plan_gier'!A:S,19,FALSE)))</f>
        <v>godz.10:20</v>
      </c>
      <c r="M67" s="2" t="str">
        <f>N58</f>
        <v>Beginners</v>
      </c>
      <c r="N67" s="115"/>
      <c r="O67" s="116"/>
      <c r="P67" s="115"/>
      <c r="Q67" s="49" t="s">
        <v>39</v>
      </c>
      <c r="R67" s="49"/>
      <c r="S67" s="259" t="str">
        <f>UPPER(IF(N58="","",IF(TYPE(VLOOKUP(2&amp;2&amp;N58,I:J,2,FALSE))=2,VLOOKUP(2&amp;2&amp;N58,I:J,2,FALSE),"")))</f>
        <v>S0033</v>
      </c>
      <c r="T67" s="259"/>
      <c r="U67" s="117" t="str">
        <f>IF(S67&lt;&gt;"",CONCATENATE(VLOOKUP(S67,'[1]zawodnicy'!$A:$E,2,FALSE)," ",VLOOKUP(S67,'[1]zawodnicy'!$A:$E,3,FALSE)," - ",VLOOKUP(S67,'[1]zawodnicy'!$A:$E,4,FALSE)),"")</f>
        <v>Mikołaj STRAŻ - Mielec</v>
      </c>
      <c r="V67" s="118">
        <v>18</v>
      </c>
      <c r="W67" s="219" t="str">
        <f>IF(ISBLANK(V67),IF(AND(LEN(S67)&gt;0,LEN(S68)=0),VLOOKUP(S67,'[1]zawodnicy'!$A:$E,3,FALSE),IF(AND(LEN(S68)&gt;0,LEN(S67)=0),VLOOKUP(S68,'[1]zawodnicy'!$A:$E,3,FALSE),"")),IF((VLOOKUP(V67,'[1]plan_gier'!$X:$AF,7,FALSE))="","",VLOOKUP(VLOOKUP(V67,'[1]plan_gier'!$X:$AF,7,FALSE),'[1]zawodnicy'!$A:$E,3,FALSE)))</f>
        <v>ORZECHOWICZ</v>
      </c>
      <c r="X67" s="219"/>
      <c r="Y67" s="219"/>
      <c r="AB67" s="123"/>
    </row>
    <row r="68" spans="1:28" s="2" customFormat="1" ht="11.25" customHeight="1">
      <c r="A68" s="1"/>
      <c r="J68" s="114"/>
      <c r="K68" s="7"/>
      <c r="L68" s="7"/>
      <c r="N68" s="115"/>
      <c r="O68" s="116"/>
      <c r="P68" s="115"/>
      <c r="Q68" s="49" t="s">
        <v>40</v>
      </c>
      <c r="R68" s="49"/>
      <c r="S68" s="259" t="str">
        <f>UPPER(IF(N58="","",IF(TYPE(VLOOKUP(1&amp;3&amp;N58,I:J,2,FALSE))=2,VLOOKUP(1&amp;3&amp;N58,I:J,2,FALSE),"")))</f>
        <v>O0006</v>
      </c>
      <c r="T68" s="259"/>
      <c r="U68" s="117" t="str">
        <f>IF(S68&lt;&gt;"",CONCATENATE(VLOOKUP(S68,'[1]zawodnicy'!$A:$E,2,FALSE)," ",VLOOKUP(S68,'[1]zawodnicy'!$A:$E,3,FALSE)," - ",VLOOKUP(S68,'[1]zawodnicy'!$A:$E,4,FALSE)),"")</f>
        <v>Jessica ORZECHOWICZ - Tarnowiec</v>
      </c>
      <c r="V68" s="119"/>
      <c r="W68" s="226" t="str">
        <f>IF(ISBLANK(V67),"",IF((VLOOKUP(V67,'[1]plan_gier'!$X:$AF,7,FALSE))="",L67,VLOOKUP(V67,'[1]plan_gier'!$X:$AF,9,FALSE)))</f>
        <v>22:20,21:11</v>
      </c>
      <c r="X68" s="226"/>
      <c r="Y68" s="226"/>
      <c r="AB68" s="123"/>
    </row>
    <row r="69" spans="1:28" s="2" customFormat="1" ht="11.25" customHeight="1">
      <c r="A69" s="120">
        <f>Y69</f>
        <v>21</v>
      </c>
      <c r="B69" s="2" t="str">
        <f>F67</f>
        <v>O0006</v>
      </c>
      <c r="D69" s="2" t="str">
        <f>F71</f>
        <v>S0028</v>
      </c>
      <c r="F69" s="2" t="str">
        <f>IF(A69=0,IF(AND(LEN(B69)&gt;0,LEN(D69)=0),B69,IF(AND(LEN(D69)&gt;0,LEN(B69)=0),D69,"")),IF((VLOOKUP(A69,'[1]plan_gier'!$X:$AF,7,FALSE))="","",VLOOKUP(VLOOKUP(A69,'[1]plan_gier'!$X:$AF,7,FALSE),'[1]zawodnicy'!$A:$E,1,FALSE)))</f>
        <v>O0006</v>
      </c>
      <c r="H69" s="2" t="str">
        <f>IF(A69=0,"",IF((VLOOKUP(A69,'[1]plan_gier'!$X:$AF,7,FALSE))="","",VLOOKUP(A69,'[1]plan_gier'!$X:$AF,9,FALSE)))</f>
        <v>21:12,21:14</v>
      </c>
      <c r="J69" s="114"/>
      <c r="K69" s="7"/>
      <c r="L69" s="36" t="str">
        <f>IF(A69=0,"",IF(VLOOKUP(A69,'[1]plan_gier'!A:S,19,FALSE)="","",VLOOKUP(A69,'[1]plan_gier'!A:S,19,FALSE)))</f>
        <v>godz.10:40</v>
      </c>
      <c r="M69" s="2" t="str">
        <f>N58</f>
        <v>Beginners</v>
      </c>
      <c r="N69" s="115"/>
      <c r="O69" s="116"/>
      <c r="P69" s="115"/>
      <c r="Q69" s="49"/>
      <c r="R69" s="49"/>
      <c r="S69" s="1"/>
      <c r="T69" s="111"/>
      <c r="W69" s="112"/>
      <c r="Y69" s="121">
        <v>21</v>
      </c>
      <c r="Z69" s="221" t="str">
        <f>IF(ISBLANK(Y69),IF(AND(LEN(W67)&gt;0,LEN(W71)=0),W67,IF(AND(LEN(W71)&gt;0,LEN(W67)=0),W71,"")),IF((VLOOKUP(Y69,'[1]plan_gier'!$X:$AF,7,FALSE))="","",VLOOKUP(VLOOKUP(Y69,'[1]plan_gier'!$X:$AF,7,FALSE),'[1]zawodnicy'!$A:$E,3,FALSE)))</f>
        <v>ORZECHOWICZ</v>
      </c>
      <c r="AA69" s="221"/>
      <c r="AB69" s="221"/>
    </row>
    <row r="70" spans="1:28" s="2" customFormat="1" ht="11.25" customHeight="1">
      <c r="A70" s="1"/>
      <c r="J70" s="114"/>
      <c r="K70" s="7"/>
      <c r="L70" s="7"/>
      <c r="N70" s="115"/>
      <c r="O70" s="116"/>
      <c r="P70" s="115"/>
      <c r="Q70" s="49"/>
      <c r="R70" s="49"/>
      <c r="S70" s="1"/>
      <c r="T70" s="111"/>
      <c r="W70" s="112"/>
      <c r="Y70" s="122"/>
      <c r="Z70" s="220" t="str">
        <f>IF(ISBLANK(Y69),"",IF((VLOOKUP(Y69,'[1]plan_gier'!$X:$AF,7,FALSE))="",L69,VLOOKUP(Y69,'[1]plan_gier'!$X:$AF,9,FALSE)))</f>
        <v>21:12,21:14</v>
      </c>
      <c r="AA70" s="220"/>
      <c r="AB70" s="220"/>
    </row>
    <row r="71" spans="1:31" s="2" customFormat="1" ht="11.25" customHeight="1">
      <c r="A71" s="113">
        <f>V71</f>
        <v>19</v>
      </c>
      <c r="B71" s="2" t="str">
        <f>IF(TYPE(S71)=16,"",S71)</f>
        <v>W0013</v>
      </c>
      <c r="D71" s="2" t="str">
        <f>IF(TYPE(S72)=16,"",S72)</f>
        <v>S0028</v>
      </c>
      <c r="F71" s="2" t="str">
        <f>IF(A71=0,IF(AND(LEN(B71)&gt;0,LEN(D71)=0),VLOOKUP(B71,'[1]zawodnicy'!$A:$E,1,FALSE),IF(AND(LEN(D71)&gt;0,LEN(B71)=0),VLOOKUP(D71,'[1]zawodnicy'!$A:$E,1,FALSE),"")),IF((VLOOKUP(A71,'[1]plan_gier'!$X:$AF,7,FALSE))="","",VLOOKUP(VLOOKUP(A71,'[1]plan_gier'!$X:$AF,7,FALSE),'[1]zawodnicy'!$A:$E,1,FALSE)))</f>
        <v>S0028</v>
      </c>
      <c r="H71" s="2" t="str">
        <f>IF(A71=0,"",IF((VLOOKUP(A71,'[1]plan_gier'!$X:$AF,7,FALSE))="","",VLOOKUP(A71,'[1]plan_gier'!$X:$AF,9,FALSE)))</f>
        <v>21:8,21:10</v>
      </c>
      <c r="J71" s="114"/>
      <c r="K71" s="7"/>
      <c r="L71" s="36" t="str">
        <f>IF(A71=0,"",IF(VLOOKUP(A71,'[1]plan_gier'!A:S,19,FALSE)="","",VLOOKUP(A71,'[1]plan_gier'!A:S,19,FALSE)))</f>
        <v>godz.10:20</v>
      </c>
      <c r="M71" s="2" t="str">
        <f>N58</f>
        <v>Beginners</v>
      </c>
      <c r="N71" s="115"/>
      <c r="O71" s="116"/>
      <c r="P71" s="115"/>
      <c r="Q71" s="49" t="s">
        <v>41</v>
      </c>
      <c r="R71" s="49"/>
      <c r="S71" s="259" t="str">
        <f>UPPER(IF(N58="","",IF(TYPE(VLOOKUP(2&amp;1&amp;N58,I:J,2,FALSE))=2,VLOOKUP(2&amp;1&amp;N58,I:J,2,FALSE),"")))</f>
        <v>W0013</v>
      </c>
      <c r="T71" s="259"/>
      <c r="U71" s="117" t="str">
        <f>IF(S71&lt;&gt;"",CONCATENATE(VLOOKUP(S71,'[1]zawodnicy'!$A:$E,2,FALSE)," ",VLOOKUP(S71,'[1]zawodnicy'!$A:$E,3,FALSE)," - ",VLOOKUP(S71,'[1]zawodnicy'!$A:$E,4,FALSE)),"")</f>
        <v>Olaf WARNECKI - Rzeszów</v>
      </c>
      <c r="V71" s="118">
        <v>19</v>
      </c>
      <c r="W71" s="221" t="str">
        <f>IF(ISBLANK(V71),IF(AND(LEN(S71)&gt;0,LEN(S72)=0),VLOOKUP(S71,'[1]zawodnicy'!$A:$E,3,FALSE),IF(AND(LEN(S72)&gt;0,LEN(S71)=0),VLOOKUP(S72,'[1]zawodnicy'!$A:$E,3,FALSE),"")),IF((VLOOKUP(V71,'[1]plan_gier'!$X:$AF,7,FALSE))="","",VLOOKUP(VLOOKUP(V71,'[1]plan_gier'!$X:$AF,7,FALSE),'[1]zawodnicy'!$A:$E,3,FALSE)))</f>
        <v>SAŁAGAJ</v>
      </c>
      <c r="X71" s="221"/>
      <c r="Y71" s="221"/>
      <c r="AC71" s="112"/>
      <c r="AD71" s="112"/>
      <c r="AE71" s="112"/>
    </row>
    <row r="72" spans="1:25" s="2" customFormat="1" ht="11.25" customHeight="1">
      <c r="A72" s="1"/>
      <c r="J72" s="114"/>
      <c r="K72" s="7"/>
      <c r="L72" s="7"/>
      <c r="N72" s="115"/>
      <c r="O72" s="116"/>
      <c r="P72" s="115"/>
      <c r="Q72" s="49" t="s">
        <v>42</v>
      </c>
      <c r="R72" s="49"/>
      <c r="S72" s="259" t="str">
        <f>UPPER(IF(N58="","",IF(TYPE(VLOOKUP(1&amp;4&amp;N58,I:J,2,FALSE))=2,VLOOKUP(1&amp;4&amp;N58,I:J,2,FALSE),"")))</f>
        <v>S0028</v>
      </c>
      <c r="T72" s="259"/>
      <c r="U72" s="117" t="str">
        <f>IF(S72&lt;&gt;"",CONCATENATE(VLOOKUP(S72,'[1]zawodnicy'!$A:$E,2,FALSE)," ",VLOOKUP(S72,'[1]zawodnicy'!$A:$E,3,FALSE)," - ",VLOOKUP(S72,'[1]zawodnicy'!$A:$E,4,FALSE)),"")</f>
        <v>Tobiasz SAŁAGAJ - Mielec</v>
      </c>
      <c r="V72" s="119"/>
      <c r="W72" s="220" t="str">
        <f>IF(ISBLANK(V71),"",IF((VLOOKUP(V71,'[1]plan_gier'!$X:$AF,7,FALSE))="",L71,VLOOKUP(V71,'[1]plan_gier'!$X:$AF,9,FALSE)))</f>
        <v>21:8,21:10</v>
      </c>
      <c r="X72" s="220"/>
      <c r="Y72" s="220"/>
    </row>
    <row r="73" ht="11.25" customHeight="1"/>
    <row r="74" ht="12" customHeight="1">
      <c r="U74" s="10" t="s">
        <v>43</v>
      </c>
    </row>
    <row r="75" spans="1:31" s="2" customFormat="1" ht="11.25" customHeight="1">
      <c r="A75" s="1"/>
      <c r="M75" s="125"/>
      <c r="N75" s="126" t="str">
        <f>M77</f>
        <v>Beginners</v>
      </c>
      <c r="O75" s="110"/>
      <c r="P75" s="110"/>
      <c r="Q75" s="1"/>
      <c r="R75" s="1"/>
      <c r="S75" s="222" t="s">
        <v>44</v>
      </c>
      <c r="T75" s="222"/>
      <c r="U75" s="222"/>
      <c r="V75" s="222"/>
      <c r="W75" s="222" t="s">
        <v>45</v>
      </c>
      <c r="X75" s="222"/>
      <c r="Y75" s="222"/>
      <c r="Z75" s="230"/>
      <c r="AA75" s="230"/>
      <c r="AB75" s="230"/>
      <c r="AC75" s="112"/>
      <c r="AD75" s="112"/>
      <c r="AE75" s="112"/>
    </row>
    <row r="76" spans="1:23" s="2" customFormat="1" ht="11.25" customHeight="1">
      <c r="A76" s="1"/>
      <c r="N76" s="126" t="s">
        <v>46</v>
      </c>
      <c r="O76" s="7"/>
      <c r="P76" s="110"/>
      <c r="Q76" s="1"/>
      <c r="R76" s="1"/>
      <c r="S76" s="1"/>
      <c r="T76" s="111"/>
      <c r="U76" s="112"/>
      <c r="V76" s="112"/>
      <c r="W76" s="112"/>
    </row>
    <row r="77" spans="1:25" s="2" customFormat="1" ht="11.25" customHeight="1">
      <c r="A77" s="113">
        <f>V77</f>
        <v>22</v>
      </c>
      <c r="B77" s="2" t="str">
        <f>IF(S77="","",S77)</f>
        <v>D0008</v>
      </c>
      <c r="D77" s="2" t="str">
        <f>IF(S78="","",S78)</f>
        <v>S0028</v>
      </c>
      <c r="F77" s="2" t="str">
        <f>IF(A77=0,IF(AND(LEN(B77)&gt;0,LEN(D77)=0),VLOOKUP(B77,'[1]zawodnicy'!$A:$E,1,FALSE),IF(AND(LEN(D77)&gt;0,LEN(B77)=0),VLOOKUP(D77,'[1]zawodnicy'!$A:$E,1,FALSE),"")),IF((VLOOKUP(A77,'[1]plan_gier'!$X:$AF,7,FALSE))="","",VLOOKUP(VLOOKUP(A77,'[1]plan_gier'!$X:$AF,7,FALSE),'[1]zawodnicy'!$A:$E,1,FALSE)))</f>
        <v>D0008</v>
      </c>
      <c r="H77" s="2" t="str">
        <f>IF(A77=0,"",IF((VLOOKUP(A77,'[1]plan_gier'!$X:$AF,7,FALSE))="","",VLOOKUP(A77,'[1]plan_gier'!$X:$AF,9,FALSE)))</f>
        <v>21:16,18:21,21:14</v>
      </c>
      <c r="J77" s="114"/>
      <c r="K77" s="114"/>
      <c r="L77" s="127" t="str">
        <f>IF(A77=0,"",IF(VLOOKUP(A77,'[1]plan_gier'!A:S,19,FALSE)="","",VLOOKUP(A77,'[1]plan_gier'!A:S,19,FALSE)))</f>
        <v>godz.10:40</v>
      </c>
      <c r="M77" s="2" t="str">
        <f>IF(N77="","",VLOOKUP(N77,A:M,13,FALSE))</f>
        <v>Beginners</v>
      </c>
      <c r="N77" s="128">
        <v>20</v>
      </c>
      <c r="O77" s="129"/>
      <c r="P77" s="115"/>
      <c r="Q77" s="49"/>
      <c r="R77" s="49"/>
      <c r="S77" s="259" t="str">
        <f>IF(N77="","",IF(LEN(VLOOKUP(N77,A:M,6,FALSE))=0,"",IF(VLOOKUP(N77,A:M,6,FALSE)=VLOOKUP(N77,A:M,2,FALSE),VLOOKUP(N77,A:M,4,FALSE),VLOOKUP(N77,A:M,2,FALSE))))</f>
        <v>D0008</v>
      </c>
      <c r="T77" s="259"/>
      <c r="U77" s="117" t="str">
        <f>IF(S77&lt;&gt;"",CONCATENATE(VLOOKUP(S77,'[1]zawodnicy'!$A:$E,2,FALSE)," ",VLOOKUP(S77,'[1]zawodnicy'!$A:$E,3,FALSE)," - ",VLOOKUP(S77,'[1]zawodnicy'!$A:$E,4,FALSE)),"")</f>
        <v>Patrycja DOMAŃSKA - Rzeszów</v>
      </c>
      <c r="V77" s="118">
        <v>22</v>
      </c>
      <c r="W77" s="219" t="str">
        <f>IF(F77="","",VLOOKUP(F77,'[1]zawodnicy'!$A:$D,3,FALSE))</f>
        <v>DOMAŃSKA</v>
      </c>
      <c r="X77" s="219"/>
      <c r="Y77" s="219"/>
    </row>
    <row r="78" spans="1:25" s="2" customFormat="1" ht="11.25" customHeight="1">
      <c r="A78" s="1"/>
      <c r="J78" s="114"/>
      <c r="K78" s="114"/>
      <c r="L78" s="114"/>
      <c r="N78" s="128">
        <v>21</v>
      </c>
      <c r="O78" s="129"/>
      <c r="P78" s="115"/>
      <c r="Q78" s="49"/>
      <c r="R78" s="49"/>
      <c r="S78" s="259" t="str">
        <f>IF(N78="","",IF(LEN(VLOOKUP(N78,A:M,6,FALSE))=0,"",IF(VLOOKUP(N78,A:M,6,FALSE)=VLOOKUP(N78,A:M,2,FALSE),VLOOKUP(N78,A:M,4,FALSE),VLOOKUP(N78,A:M,2,FALSE))))</f>
        <v>S0028</v>
      </c>
      <c r="T78" s="259"/>
      <c r="U78" s="117" t="str">
        <f>IF(S78&lt;&gt;"",CONCATENATE(VLOOKUP(S78,'[1]zawodnicy'!$A:$E,2,FALSE)," ",VLOOKUP(S78,'[1]zawodnicy'!$A:$E,3,FALSE)," - ",VLOOKUP(S78,'[1]zawodnicy'!$A:$E,4,FALSE)),"")</f>
        <v>Tobiasz SAŁAGAJ - Mielec</v>
      </c>
      <c r="V78" s="119"/>
      <c r="W78" s="220" t="str">
        <f>IF(H77="",L77,H77)</f>
        <v>21:16,18:21,21:14</v>
      </c>
      <c r="X78" s="220"/>
      <c r="Y78" s="220"/>
    </row>
    <row r="79" ht="11.25" customHeight="1"/>
    <row r="80" ht="11.25" customHeight="1"/>
    <row r="81" spans="13:31" ht="11.25" customHeight="1">
      <c r="M81" s="8"/>
      <c r="N81" s="9" t="s">
        <v>47</v>
      </c>
      <c r="Q81" s="245" t="str">
        <f>"Gra "&amp;N81</f>
        <v>Gra Runners Up</v>
      </c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ht="11.25" customHeight="1" thickBot="1"/>
    <row r="83" spans="14:32" ht="11.25" customHeight="1" thickBot="1">
      <c r="N83" s="7"/>
      <c r="O83" s="14">
        <v>1</v>
      </c>
      <c r="Q83" s="245" t="str">
        <f>"Grupa "&amp;O83&amp;"."</f>
        <v>Grupa 1.</v>
      </c>
      <c r="R83" s="245"/>
      <c r="S83" s="245"/>
      <c r="T83" s="15" t="s">
        <v>1</v>
      </c>
      <c r="U83" s="246" t="s">
        <v>2</v>
      </c>
      <c r="V83" s="246"/>
      <c r="W83" s="15">
        <v>1</v>
      </c>
      <c r="X83" s="18">
        <v>2</v>
      </c>
      <c r="Y83" s="16">
        <v>3</v>
      </c>
      <c r="Z83" s="89" t="s">
        <v>3</v>
      </c>
      <c r="AA83" s="22" t="s">
        <v>4</v>
      </c>
      <c r="AB83" s="22" t="s">
        <v>5</v>
      </c>
      <c r="AC83" s="90" t="s">
        <v>6</v>
      </c>
      <c r="AD83" s="2"/>
      <c r="AE83" s="24"/>
      <c r="AF83" s="24"/>
    </row>
    <row r="84" spans="10:45" ht="11.25" customHeight="1" thickBot="1">
      <c r="J84" s="31"/>
      <c r="K84" s="31"/>
      <c r="L84" s="31"/>
      <c r="N84" s="25" t="s">
        <v>47</v>
      </c>
      <c r="Q84" s="247" t="s">
        <v>9</v>
      </c>
      <c r="R84" s="247"/>
      <c r="S84" s="248" t="s">
        <v>10</v>
      </c>
      <c r="T84" s="249">
        <v>1</v>
      </c>
      <c r="U84" s="250">
        <f>IF(AND(N85&lt;&gt;"",N86&lt;&gt;""),CONCATENATE(VLOOKUP(N85,'[1]zawodnicy'!$A:$E,1,FALSE)," ",VLOOKUP(N85,'[1]zawodnicy'!$A:$E,2,FALSE)," ",VLOOKUP(N85,'[1]zawodnicy'!$A:$E,3,FALSE)," - ",VLOOKUP(N85,'[1]zawodnicy'!$A:$E,4,FALSE)),"")</f>
      </c>
      <c r="V84" s="250"/>
      <c r="W84" s="91"/>
      <c r="X84" s="92" t="str">
        <f>IF(SUM(AN89:AO89)=0,"",AN89&amp;":"&amp;AO89)</f>
        <v>21:13</v>
      </c>
      <c r="Y84" s="93" t="str">
        <f>IF(SUM(AN87:AO87)=0,"",AN87&amp;":"&amp;AO87)</f>
        <v>15:21</v>
      </c>
      <c r="Z84" s="249" t="str">
        <f>IF(SUM(AX87:BA87)=0,"",BD87&amp;":"&amp;BE87)</f>
        <v>99:72</v>
      </c>
      <c r="AA84" s="242" t="str">
        <f>IF(SUM(AX87:BA87)=0,"",BF87&amp;":"&amp;BG87)</f>
        <v>4:1</v>
      </c>
      <c r="AB84" s="242" t="str">
        <f>IF(SUM(AX87:BA87)=0,"",BH87&amp;":"&amp;BI87)</f>
        <v>2:0</v>
      </c>
      <c r="AC84" s="243">
        <f>IF(SUM(BH87:BH89)&gt;0,BJ87,"")</f>
        <v>1</v>
      </c>
      <c r="AD84" s="2"/>
      <c r="AE84" s="24"/>
      <c r="AF84" s="24"/>
      <c r="AH84" s="244" t="s">
        <v>7</v>
      </c>
      <c r="AI84" s="244"/>
      <c r="AJ84" s="244"/>
      <c r="AK84" s="244"/>
      <c r="AL84" s="244"/>
      <c r="AM84" s="244"/>
      <c r="AN84" s="244" t="s">
        <v>8</v>
      </c>
      <c r="AO84" s="244"/>
      <c r="AP84" s="244"/>
      <c r="AQ84" s="244"/>
      <c r="AR84" s="244"/>
      <c r="AS84" s="244"/>
    </row>
    <row r="85" spans="9:59" ht="11.25" customHeight="1" thickBot="1">
      <c r="I85" s="2" t="str">
        <f>"1"&amp;O83&amp;N84</f>
        <v>11Runners Up</v>
      </c>
      <c r="J85" s="2" t="str">
        <f>IF(AC84="","",IF(AC84=1,N85,IF(AC87=1,N88,IF(AC90=1,N91,""))))</f>
        <v>S0020</v>
      </c>
      <c r="K85" s="2">
        <f>IF(AC84="","",IF(AC84=1,N86,IF(AC87=1,N89,IF(AC90=1,N92,""))))</f>
        <v>0</v>
      </c>
      <c r="L85" s="2"/>
      <c r="N85" s="29" t="s">
        <v>48</v>
      </c>
      <c r="O85" s="30">
        <f>IF(O83&gt;0,(O83&amp;1)*1,"")</f>
        <v>11</v>
      </c>
      <c r="Q85" s="247"/>
      <c r="R85" s="247"/>
      <c r="S85" s="248"/>
      <c r="T85" s="249"/>
      <c r="U85" s="228" t="str">
        <f>IF(AND(N85&lt;&gt;"",N86=""),CONCATENATE(VLOOKUP(N85,'[1]zawodnicy'!$A:$E,1,FALSE)," ",VLOOKUP(N85,'[1]zawodnicy'!$A:$E,2,FALSE)," ",VLOOKUP(N85,'[1]zawodnicy'!$A:$E,3,FALSE)," - ",VLOOKUP(N85,'[1]zawodnicy'!$A:$E,4,FALSE)),"")</f>
        <v>S0020 Mariusz SŁOMBA - Mielec</v>
      </c>
      <c r="V85" s="228"/>
      <c r="W85" s="26"/>
      <c r="X85" s="27" t="str">
        <f>IF(SUM(AP89:AQ89)=0,"",AP89&amp;":"&amp;AQ89)</f>
        <v>21:16</v>
      </c>
      <c r="Y85" s="58" t="str">
        <f>IF(SUM(AP87:AQ87)=0,"",AP87&amp;":"&amp;AQ87)</f>
        <v>21:9</v>
      </c>
      <c r="Z85" s="249"/>
      <c r="AA85" s="242"/>
      <c r="AB85" s="242"/>
      <c r="AC85" s="243"/>
      <c r="AD85" s="2"/>
      <c r="AE85" s="24"/>
      <c r="AF85" s="24"/>
      <c r="BD85" s="11">
        <f>SUM(BD87:BD89)</f>
        <v>278</v>
      </c>
      <c r="BE85" s="11">
        <f>SUM(BE87:BE89)</f>
        <v>278</v>
      </c>
      <c r="BF85" s="11">
        <f>SUM(BF87:BF89)</f>
        <v>8</v>
      </c>
      <c r="BG85" s="11">
        <f>SUM(BG87:BG89)</f>
        <v>8</v>
      </c>
    </row>
    <row r="86" spans="10:63" ht="11.25" customHeight="1" thickBot="1">
      <c r="J86" s="2"/>
      <c r="K86" s="31"/>
      <c r="L86" s="31"/>
      <c r="N86" s="32"/>
      <c r="O86" s="31"/>
      <c r="P86" s="31"/>
      <c r="Q86" s="247"/>
      <c r="R86" s="247"/>
      <c r="S86" s="248"/>
      <c r="T86" s="249"/>
      <c r="U86" s="231">
        <f>IF(N86&lt;&gt;"",CONCATENATE(VLOOKUP(N86,'[1]zawodnicy'!$A:$E,1,FALSE)," ",VLOOKUP(N86,'[1]zawodnicy'!$A:$E,2,FALSE)," ",VLOOKUP(N86,'[1]zawodnicy'!$A:$E,3,FALSE)," - ",VLOOKUP(N86,'[1]zawodnicy'!$A:$E,4,FALSE)),"")</f>
      </c>
      <c r="V86" s="231"/>
      <c r="W86" s="26"/>
      <c r="X86" s="33">
        <f>IF(SUM(AR89:AS89)=0,"",AR89&amp;":"&amp;AS89)</f>
      </c>
      <c r="Y86" s="68" t="str">
        <f>IF(SUM(AR87:AS87)=0,"",AR87&amp;":"&amp;AS87)</f>
        <v>21:13</v>
      </c>
      <c r="Z86" s="249"/>
      <c r="AA86" s="242"/>
      <c r="AB86" s="242"/>
      <c r="AC86" s="243"/>
      <c r="AD86" s="2"/>
      <c r="AE86" s="24"/>
      <c r="AF86" s="24"/>
      <c r="AH86" s="239" t="s">
        <v>12</v>
      </c>
      <c r="AI86" s="239"/>
      <c r="AJ86" s="240" t="s">
        <v>13</v>
      </c>
      <c r="AK86" s="240"/>
      <c r="AL86" s="241" t="s">
        <v>14</v>
      </c>
      <c r="AM86" s="241"/>
      <c r="AN86" s="239" t="s">
        <v>12</v>
      </c>
      <c r="AO86" s="239"/>
      <c r="AP86" s="240" t="s">
        <v>13</v>
      </c>
      <c r="AQ86" s="240"/>
      <c r="AR86" s="240" t="s">
        <v>14</v>
      </c>
      <c r="AS86" s="240"/>
      <c r="AT86" s="24"/>
      <c r="AU86" s="24"/>
      <c r="AV86" s="239">
        <v>1</v>
      </c>
      <c r="AW86" s="239"/>
      <c r="AX86" s="240">
        <v>2</v>
      </c>
      <c r="AY86" s="240"/>
      <c r="AZ86" s="241">
        <v>3</v>
      </c>
      <c r="BA86" s="241"/>
      <c r="BD86" s="235" t="s">
        <v>3</v>
      </c>
      <c r="BE86" s="235"/>
      <c r="BF86" s="235" t="s">
        <v>4</v>
      </c>
      <c r="BG86" s="235"/>
      <c r="BH86" s="235" t="s">
        <v>5</v>
      </c>
      <c r="BI86" s="235"/>
      <c r="BJ86" s="35" t="s">
        <v>6</v>
      </c>
      <c r="BK86" s="12">
        <f>SUM(BK87:BK89)</f>
        <v>1.0083080204115191E-16</v>
      </c>
    </row>
    <row r="87" spans="1:63" ht="11.25" customHeight="1">
      <c r="A87" s="11">
        <f>S87</f>
        <v>24</v>
      </c>
      <c r="B87" s="2" t="str">
        <f>IF(N85="","",N85)</f>
        <v>S0020</v>
      </c>
      <c r="C87" s="2">
        <f>IF(N86="","",N86)</f>
      </c>
      <c r="D87" s="2" t="str">
        <f>IF(N91="","",N91)</f>
        <v>G0011</v>
      </c>
      <c r="E87" s="2">
        <f>IF(N92="","",N92)</f>
      </c>
      <c r="I87" s="2" t="str">
        <f>"2"&amp;O83&amp;N84</f>
        <v>21Runners Up</v>
      </c>
      <c r="J87" s="2" t="str">
        <f>IF(AC87="","",IF(AC84=2,N85,IF(AC87=2,N88,IF(AC90=2,N91,""))))</f>
        <v>G0011</v>
      </c>
      <c r="K87" s="2">
        <f>IF(AC87="","",IF(AC84=2,N86,IF(AC87=2,N89,IF(AC90=2,N92,""))))</f>
        <v>0</v>
      </c>
      <c r="M87" s="2" t="str">
        <f>N84</f>
        <v>Runners Up</v>
      </c>
      <c r="O87" s="31"/>
      <c r="P87" s="31"/>
      <c r="Q87" s="36">
        <f>IF(AT87&gt;0,"",IF(A87=0,"",IF(VLOOKUP(A87,'[1]plan_gier'!A:S,19,FALSE)="","",VLOOKUP(A87,'[1]plan_gier'!A:S,19,FALSE))))</f>
      </c>
      <c r="R87" s="37" t="s">
        <v>15</v>
      </c>
      <c r="S87" s="84">
        <v>24</v>
      </c>
      <c r="T87" s="236">
        <v>2</v>
      </c>
      <c r="U87" s="233">
        <f>IF(AND(N88&lt;&gt;"",N89&lt;&gt;""),CONCATENATE(VLOOKUP(N88,'[1]zawodnicy'!$A:$E,1,FALSE)," ",VLOOKUP(N88,'[1]zawodnicy'!$A:$E,2,FALSE)," ",VLOOKUP(N88,'[1]zawodnicy'!$A:$E,3,FALSE)," - ",VLOOKUP(N88,'[1]zawodnicy'!$A:$E,4,FALSE)),"")</f>
      </c>
      <c r="V87" s="233"/>
      <c r="W87" s="39" t="str">
        <f>IF(SUM(AN89:AO89)=0,"",AO89&amp;":"&amp;AN89)</f>
        <v>13:21</v>
      </c>
      <c r="X87" s="72"/>
      <c r="Y87" s="42" t="str">
        <f>IF(SUM(AN88:AO88)=0,"",AN88&amp;":"&amp;AO88)</f>
        <v>21:12</v>
      </c>
      <c r="Z87" s="236" t="str">
        <f>IF(SUM(AV88:AW88,AZ88:BA88)=0,"",BD88&amp;":"&amp;BE88)</f>
        <v>81:97</v>
      </c>
      <c r="AA87" s="237" t="str">
        <f>IF(SUM(AV88:AW88,AZ88:BA88)=0,"",BF88&amp;":"&amp;BG88)</f>
        <v>1:4</v>
      </c>
      <c r="AB87" s="237" t="str">
        <f>IF(SUM(AV88:AW88,AZ88:BA88)=0,"",BH88&amp;":"&amp;BI88)</f>
        <v>0:2</v>
      </c>
      <c r="AC87" s="238">
        <f>IF(SUM(BH87:BH89)&gt;0,BJ88,"")</f>
        <v>3</v>
      </c>
      <c r="AD87" s="2"/>
      <c r="AE87" s="24"/>
      <c r="AF87" s="24"/>
      <c r="AG87" s="37" t="s">
        <v>15</v>
      </c>
      <c r="AH87" s="45">
        <f>IF(ISBLANK(S87),"",VLOOKUP(S87,'[1]plan_gier'!$X:$AN,12,FALSE))</f>
        <v>15</v>
      </c>
      <c r="AI87" s="46">
        <f>IF(ISBLANK(S87),"",VLOOKUP(S87,'[1]plan_gier'!$X:$AN,13,FALSE))</f>
        <v>21</v>
      </c>
      <c r="AJ87" s="46">
        <f>IF(ISBLANK(S87),"",VLOOKUP(S87,'[1]plan_gier'!$X:$AN,14,FALSE))</f>
        <v>21</v>
      </c>
      <c r="AK87" s="46">
        <f>IF(ISBLANK(S87),"",VLOOKUP(S87,'[1]plan_gier'!$X:$AN,15,FALSE))</f>
        <v>9</v>
      </c>
      <c r="AL87" s="46">
        <f>IF(ISBLANK(S87),"",VLOOKUP(S87,'[1]plan_gier'!$X:$AN,16,FALSE))</f>
        <v>21</v>
      </c>
      <c r="AM87" s="46">
        <f>IF(ISBLANK(S87),"",VLOOKUP(S87,'[1]plan_gier'!$X:$AN,17,FALSE))</f>
        <v>13</v>
      </c>
      <c r="AN87" s="94">
        <f aca="true" t="shared" si="10" ref="AN87:AS89">IF(AH87="",0,AH87)</f>
        <v>15</v>
      </c>
      <c r="AO87" s="44">
        <f t="shared" si="10"/>
        <v>21</v>
      </c>
      <c r="AP87" s="95">
        <f t="shared" si="10"/>
        <v>21</v>
      </c>
      <c r="AQ87" s="44">
        <f t="shared" si="10"/>
        <v>9</v>
      </c>
      <c r="AR87" s="95">
        <f t="shared" si="10"/>
        <v>21</v>
      </c>
      <c r="AS87" s="44">
        <f t="shared" si="10"/>
        <v>13</v>
      </c>
      <c r="AT87" s="48">
        <f>SUM(AN87:AS87)</f>
        <v>100</v>
      </c>
      <c r="AU87" s="49">
        <v>1</v>
      </c>
      <c r="AV87" s="96"/>
      <c r="AW87" s="97"/>
      <c r="AX87" s="46">
        <f>IF(AH89&gt;AI89,1,0)+IF(AJ89&gt;AK89,1,0)+IF(AL89&gt;AM89,1,0)</f>
        <v>2</v>
      </c>
      <c r="AY87" s="46">
        <f>AV88</f>
        <v>0</v>
      </c>
      <c r="AZ87" s="46">
        <f>IF(AH87&gt;AI87,1,0)+IF(AJ87&gt;AK87,1,0)+IF(AL87&gt;AM87,1,0)</f>
        <v>2</v>
      </c>
      <c r="BA87" s="47">
        <f>AV89</f>
        <v>1</v>
      </c>
      <c r="BD87" s="45">
        <f>AN87+AP87+AR87+AN89+AP89+AR89</f>
        <v>99</v>
      </c>
      <c r="BE87" s="47">
        <f>AO87+AQ87+AS87+AO89+AQ89+AS89</f>
        <v>72</v>
      </c>
      <c r="BF87" s="45">
        <f>AX87+AZ87</f>
        <v>4</v>
      </c>
      <c r="BG87" s="47">
        <f>AY87+BA87</f>
        <v>1</v>
      </c>
      <c r="BH87" s="45">
        <f>IF(AX87&gt;AY87,1,0)+IF(AZ87&gt;BA87,1,0)</f>
        <v>2</v>
      </c>
      <c r="BI87" s="51">
        <f>IF(AY87&gt;AX87,1,0)+IF(BA87&gt;AZ87,1,0)</f>
        <v>0</v>
      </c>
      <c r="BJ87" s="98">
        <f>IF(BH87+BI87=0,"",IF(BK87=MAX(BK87:BK89),1,IF(BK87=MIN(BK87:BK89),3,2)))</f>
        <v>1</v>
      </c>
      <c r="BK87" s="12">
        <f>IF(BH87+BI87&lt;&gt;0,BH87-BI87+(BF87-BG87)/100+(BD87-BE87)/10000,-2)</f>
        <v>2.0326999999999997</v>
      </c>
    </row>
    <row r="88" spans="1:63" ht="11.25" customHeight="1">
      <c r="A88" s="11">
        <f>S88</f>
        <v>27</v>
      </c>
      <c r="B88" s="2" t="str">
        <f>IF(N88="","",N88)</f>
        <v>G0017</v>
      </c>
      <c r="C88" s="2">
        <f>IF(N89="","",N89)</f>
      </c>
      <c r="D88" s="2" t="str">
        <f>IF(N91="","",N91)</f>
        <v>G0011</v>
      </c>
      <c r="E88" s="2">
        <f>IF(N92="","",N92)</f>
      </c>
      <c r="J88" s="2"/>
      <c r="K88" s="11"/>
      <c r="M88" s="2" t="str">
        <f>N84</f>
        <v>Runners Up</v>
      </c>
      <c r="N88" s="29" t="s">
        <v>49</v>
      </c>
      <c r="O88" s="30">
        <f>IF(O83&gt;0,(O83&amp;2)*1,"")</f>
        <v>12</v>
      </c>
      <c r="Q88" s="36">
        <f>IF(AT88&gt;0,"",IF(A88=0,"",IF(VLOOKUP(A88,'[1]plan_gier'!A:S,19,FALSE)="","",VLOOKUP(A88,'[1]plan_gier'!A:S,19,FALSE))))</f>
      </c>
      <c r="R88" s="37" t="s">
        <v>19</v>
      </c>
      <c r="S88" s="84">
        <v>27</v>
      </c>
      <c r="T88" s="236"/>
      <c r="U88" s="228" t="str">
        <f>IF(AND(N88&lt;&gt;"",N89=""),CONCATENATE(VLOOKUP(N88,'[1]zawodnicy'!$A:$E,1,FALSE)," ",VLOOKUP(N88,'[1]zawodnicy'!$A:$E,2,FALSE)," ",VLOOKUP(N88,'[1]zawodnicy'!$A:$E,3,FALSE)," - ",VLOOKUP(N88,'[1]zawodnicy'!$A:$E,4,FALSE)),"")</f>
        <v>G0017 Grzegorz GODZWAN - Rzeszów</v>
      </c>
      <c r="V88" s="228"/>
      <c r="W88" s="56" t="str">
        <f>IF(SUM(AP89:AQ89)=0,"",AQ89&amp;":"&amp;AP89)</f>
        <v>16:21</v>
      </c>
      <c r="X88" s="82"/>
      <c r="Y88" s="58" t="str">
        <f>IF(SUM(AP88:AQ88)=0,"",AP88&amp;":"&amp;AQ88)</f>
        <v>20:22</v>
      </c>
      <c r="Z88" s="236"/>
      <c r="AA88" s="237"/>
      <c r="AB88" s="237"/>
      <c r="AC88" s="238"/>
      <c r="AD88" s="2"/>
      <c r="AE88" s="24"/>
      <c r="AF88" s="24"/>
      <c r="AG88" s="37" t="s">
        <v>19</v>
      </c>
      <c r="AH88" s="59">
        <f>IF(ISBLANK(S88),"",VLOOKUP(S88,'[1]plan_gier'!$X:$AN,12,FALSE))</f>
        <v>21</v>
      </c>
      <c r="AI88" s="60">
        <f>IF(ISBLANK(S88),"",VLOOKUP(S88,'[1]plan_gier'!$X:$AN,13,FALSE))</f>
        <v>12</v>
      </c>
      <c r="AJ88" s="60">
        <f>IF(ISBLANK(S88),"",VLOOKUP(S88,'[1]plan_gier'!$X:$AN,14,FALSE))</f>
        <v>20</v>
      </c>
      <c r="AK88" s="60">
        <f>IF(ISBLANK(S88),"",VLOOKUP(S88,'[1]plan_gier'!$X:$AN,15,FALSE))</f>
        <v>22</v>
      </c>
      <c r="AL88" s="60">
        <f>IF(ISBLANK(S88),"",VLOOKUP(S88,'[1]plan_gier'!$X:$AN,16,FALSE))</f>
        <v>11</v>
      </c>
      <c r="AM88" s="60">
        <f>IF(ISBLANK(S88),"",VLOOKUP(S88,'[1]plan_gier'!$X:$AN,17,FALSE))</f>
        <v>21</v>
      </c>
      <c r="AN88" s="99">
        <f t="shared" si="10"/>
        <v>21</v>
      </c>
      <c r="AO88" s="60">
        <f t="shared" si="10"/>
        <v>12</v>
      </c>
      <c r="AP88" s="100">
        <f t="shared" si="10"/>
        <v>20</v>
      </c>
      <c r="AQ88" s="60">
        <f t="shared" si="10"/>
        <v>22</v>
      </c>
      <c r="AR88" s="100">
        <f t="shared" si="10"/>
        <v>11</v>
      </c>
      <c r="AS88" s="60">
        <f t="shared" si="10"/>
        <v>21</v>
      </c>
      <c r="AT88" s="48">
        <f>SUM(AN88:AS88)</f>
        <v>107</v>
      </c>
      <c r="AU88" s="49">
        <v>2</v>
      </c>
      <c r="AV88" s="59">
        <f>IF(AH89&lt;AI89,1,0)+IF(AJ89&lt;AK89,1,0)+IF(AL89&lt;AM89,1,0)</f>
        <v>0</v>
      </c>
      <c r="AW88" s="60">
        <f>AX87</f>
        <v>2</v>
      </c>
      <c r="AX88" s="101"/>
      <c r="AY88" s="102"/>
      <c r="AZ88" s="60">
        <f>IF(AH88&gt;AI88,1,0)+IF(AJ88&gt;AK88,1,0)+IF(AL88&gt;AM88,1,0)</f>
        <v>1</v>
      </c>
      <c r="BA88" s="61">
        <f>AX89</f>
        <v>2</v>
      </c>
      <c r="BD88" s="59">
        <f>AN88+AP88+AR88+AO89+AQ89+AS89</f>
        <v>81</v>
      </c>
      <c r="BE88" s="61">
        <f>AO88+AQ88+AS88+AN89+AP89+AR89</f>
        <v>97</v>
      </c>
      <c r="BF88" s="59">
        <f>AV88+AZ88</f>
        <v>1</v>
      </c>
      <c r="BG88" s="61">
        <f>AW88+BA88</f>
        <v>4</v>
      </c>
      <c r="BH88" s="59">
        <f>IF(AV88&gt;AW88,1,0)+IF(AZ88&gt;BA88,1,0)</f>
        <v>0</v>
      </c>
      <c r="BI88" s="65">
        <f>IF(AW88&gt;AV88,1,0)+IF(BA88&gt;AZ88,1,0)</f>
        <v>2</v>
      </c>
      <c r="BJ88" s="66">
        <f>IF(BH88+BI88=0,"",IF(BK88=MAX(BK87:BK89),1,IF(BK88=MIN(BK87:BK89),3,2)))</f>
        <v>3</v>
      </c>
      <c r="BK88" s="12">
        <f>IF(BH88+BI88&lt;&gt;0,BH88-BI88+(BF88-BG88)/100+(BD88-BE88)/10000,-2)</f>
        <v>-2.0315999999999996</v>
      </c>
    </row>
    <row r="89" spans="1:63" ht="11.25" customHeight="1" thickBot="1">
      <c r="A89" s="11">
        <f>S89</f>
        <v>30</v>
      </c>
      <c r="B89" s="2" t="str">
        <f>IF(N85="","",N85)</f>
        <v>S0020</v>
      </c>
      <c r="C89" s="2">
        <f>IF(N86="","",N86)</f>
      </c>
      <c r="D89" s="2" t="str">
        <f>IF(N88="","",N88)</f>
        <v>G0017</v>
      </c>
      <c r="E89" s="2">
        <f>IF(N89="","",N89)</f>
      </c>
      <c r="I89" s="2" t="str">
        <f>"3"&amp;O83&amp;N84</f>
        <v>31Runners Up</v>
      </c>
      <c r="J89" s="2" t="str">
        <f>IF(AC90="","",IF(AC84=3,N85,IF(AC87=3,N88,IF(AC90=3,N91,""))))</f>
        <v>G0017</v>
      </c>
      <c r="K89" s="2">
        <f>IF(AC90="","",IF(AC84=3,N86,IF(AC87=3,N89,IF(AC90=3,N92,""))))</f>
        <v>0</v>
      </c>
      <c r="M89" s="2" t="str">
        <f>N84</f>
        <v>Runners Up</v>
      </c>
      <c r="N89" s="32"/>
      <c r="O89" s="31"/>
      <c r="P89" s="31"/>
      <c r="Q89" s="36">
        <f>IF(AT89&gt;0,"",IF(A89=0,"",IF(VLOOKUP(A89,'[1]plan_gier'!A:S,19,FALSE)="","",VLOOKUP(A89,'[1]plan_gier'!A:S,19,FALSE))))</f>
      </c>
      <c r="R89" s="37" t="s">
        <v>22</v>
      </c>
      <c r="S89" s="84">
        <v>30</v>
      </c>
      <c r="T89" s="236"/>
      <c r="U89" s="231">
        <f>IF(N89&lt;&gt;"",CONCATENATE(VLOOKUP(N89,'[1]zawodnicy'!$A:$E,1,FALSE)," ",VLOOKUP(N89,'[1]zawodnicy'!$A:$E,2,FALSE)," ",VLOOKUP(N89,'[1]zawodnicy'!$A:$E,3,FALSE)," - ",VLOOKUP(N89,'[1]zawodnicy'!$A:$E,4,FALSE)),"")</f>
      </c>
      <c r="V89" s="231"/>
      <c r="W89" s="67">
        <f>IF(SUM(AR89:AS89)=0,"",AS89&amp;":"&amp;AR89)</f>
      </c>
      <c r="X89" s="82"/>
      <c r="Y89" s="68" t="str">
        <f>IF(SUM(AR88:AS88)=0,"",AR88&amp;":"&amp;AS88)</f>
        <v>11:21</v>
      </c>
      <c r="Z89" s="236"/>
      <c r="AA89" s="237"/>
      <c r="AB89" s="237"/>
      <c r="AC89" s="238"/>
      <c r="AD89" s="2"/>
      <c r="AE89" s="24"/>
      <c r="AF89" s="24"/>
      <c r="AG89" s="37" t="s">
        <v>22</v>
      </c>
      <c r="AH89" s="78">
        <f>IF(ISBLANK(S89),"",VLOOKUP(S89,'[1]plan_gier'!$X:$AN,12,FALSE))</f>
        <v>21</v>
      </c>
      <c r="AI89" s="75">
        <f>IF(ISBLANK(S89),"",VLOOKUP(S89,'[1]plan_gier'!$X:$AN,13,FALSE))</f>
        <v>13</v>
      </c>
      <c r="AJ89" s="75">
        <f>IF(ISBLANK(S89),"",VLOOKUP(S89,'[1]plan_gier'!$X:$AN,14,FALSE))</f>
        <v>21</v>
      </c>
      <c r="AK89" s="75">
        <f>IF(ISBLANK(S89),"",VLOOKUP(S89,'[1]plan_gier'!$X:$AN,15,FALSE))</f>
        <v>16</v>
      </c>
      <c r="AL89" s="75">
        <f>IF(ISBLANK(S89),"",VLOOKUP(S89,'[1]plan_gier'!$X:$AN,16,FALSE))</f>
        <v>0</v>
      </c>
      <c r="AM89" s="75">
        <f>IF(ISBLANK(S89),"",VLOOKUP(S89,'[1]plan_gier'!$X:$AN,17,FALSE))</f>
        <v>0</v>
      </c>
      <c r="AN89" s="103">
        <f t="shared" si="10"/>
        <v>21</v>
      </c>
      <c r="AO89" s="75">
        <f t="shared" si="10"/>
        <v>13</v>
      </c>
      <c r="AP89" s="104">
        <f t="shared" si="10"/>
        <v>21</v>
      </c>
      <c r="AQ89" s="75">
        <f t="shared" si="10"/>
        <v>16</v>
      </c>
      <c r="AR89" s="104">
        <f t="shared" si="10"/>
        <v>0</v>
      </c>
      <c r="AS89" s="75">
        <f t="shared" si="10"/>
        <v>0</v>
      </c>
      <c r="AT89" s="48">
        <f>SUM(AN89:AS89)</f>
        <v>71</v>
      </c>
      <c r="AU89" s="49">
        <v>3</v>
      </c>
      <c r="AV89" s="78">
        <f>IF(AH87&lt;AI87,1,0)+IF(AJ87&lt;AK87,1,0)+IF(AL87&lt;AM87,1,0)</f>
        <v>1</v>
      </c>
      <c r="AW89" s="75">
        <f>AZ87</f>
        <v>2</v>
      </c>
      <c r="AX89" s="75">
        <f>IF(AH88&lt;AI88,1,0)+IF(AJ88&lt;AK88,1,0)+IF(AL88&lt;AM88,1,0)</f>
        <v>2</v>
      </c>
      <c r="AY89" s="75">
        <f>AZ88</f>
        <v>1</v>
      </c>
      <c r="AZ89" s="105"/>
      <c r="BA89" s="106"/>
      <c r="BD89" s="78">
        <f>AO87+AQ87+AS87+AO88+AQ88+AS88</f>
        <v>98</v>
      </c>
      <c r="BE89" s="80">
        <f>AN87+AP87+AR87+AN88+AP88+AR88</f>
        <v>109</v>
      </c>
      <c r="BF89" s="78">
        <f>AV89+AX89</f>
        <v>3</v>
      </c>
      <c r="BG89" s="80">
        <f>AW89+AY89</f>
        <v>3</v>
      </c>
      <c r="BH89" s="78">
        <f>IF(AV89&gt;AW89,1,0)+IF(AX89&gt;AY89,1,0)</f>
        <v>1</v>
      </c>
      <c r="BI89" s="79">
        <f>IF(AW89&gt;AV89,1,0)+IF(AY89&gt;AX89,1,0)</f>
        <v>1</v>
      </c>
      <c r="BJ89" s="81">
        <f>IF(BH89+BI89=0,"",IF(BK89=MAX(BK87:BK89),1,IF(BK89=MIN(BK87:BK89),3,2)))</f>
        <v>2</v>
      </c>
      <c r="BK89" s="12">
        <f>IF(BH89+BI89&lt;&gt;0,BH89-BI89+(BF89-BG89)/100+(BD89-BE89)/10000,-2)</f>
        <v>-0.0011</v>
      </c>
    </row>
    <row r="90" spans="1:59" ht="11.25" customHeight="1" thickBot="1">
      <c r="A90" s="2"/>
      <c r="J90" s="31"/>
      <c r="K90" s="31"/>
      <c r="L90" s="31"/>
      <c r="O90" s="31"/>
      <c r="P90" s="31"/>
      <c r="Q90" s="2"/>
      <c r="R90" s="2"/>
      <c r="S90" s="2"/>
      <c r="T90" s="232">
        <v>3</v>
      </c>
      <c r="U90" s="233">
        <f>IF(AND(N91&lt;&gt;"",N92&lt;&gt;""),CONCATENATE(VLOOKUP(N91,'[1]zawodnicy'!$A:$E,1,FALSE)," ",VLOOKUP(N91,'[1]zawodnicy'!$A:$E,2,FALSE)," ",VLOOKUP(N91,'[1]zawodnicy'!$A:$E,3,FALSE)," - ",VLOOKUP(N91,'[1]zawodnicy'!$A:$E,4,FALSE)),"")</f>
      </c>
      <c r="V90" s="233"/>
      <c r="W90" s="39" t="str">
        <f>IF(SUM(AN87:AO87)=0,"",AO87&amp;":"&amp;AN87)</f>
        <v>21:15</v>
      </c>
      <c r="X90" s="41" t="str">
        <f>IF(SUM(AN88:AO88)=0,"",AO88&amp;":"&amp;AN88)</f>
        <v>12:21</v>
      </c>
      <c r="Y90" s="107"/>
      <c r="Z90" s="232" t="str">
        <f>IF(SUM(AV89:AY89)=0,"",BD89&amp;":"&amp;BE89)</f>
        <v>98:109</v>
      </c>
      <c r="AA90" s="234" t="str">
        <f>IF(SUM(AV89:AY89)=0,"",BF89&amp;":"&amp;BG89)</f>
        <v>3:3</v>
      </c>
      <c r="AB90" s="234" t="str">
        <f>IF(SUM(AV89:AY89)=0,"",BH89&amp;":"&amp;BI89)</f>
        <v>1:1</v>
      </c>
      <c r="AC90" s="227">
        <f>IF(SUM(BH87:BH89)&gt;0,BJ89,"")</f>
        <v>2</v>
      </c>
      <c r="AD90" s="2"/>
      <c r="AE90" s="24"/>
      <c r="AF90" s="24"/>
      <c r="BD90" s="11">
        <f>SUM(BD87:BD89)</f>
        <v>278</v>
      </c>
      <c r="BE90" s="11">
        <f>SUM(BE87:BE89)</f>
        <v>278</v>
      </c>
      <c r="BF90" s="11">
        <f>SUM(BF87:BF89)</f>
        <v>8</v>
      </c>
      <c r="BG90" s="11">
        <f>SUM(BG87:BG89)</f>
        <v>8</v>
      </c>
    </row>
    <row r="91" spans="1:63" ht="11.25" customHeight="1" thickBot="1">
      <c r="A91" s="11"/>
      <c r="J91" s="11"/>
      <c r="K91" s="11"/>
      <c r="L91" s="11"/>
      <c r="N91" s="29" t="s">
        <v>50</v>
      </c>
      <c r="O91" s="30">
        <f>IF(O83&gt;0,(O83&amp;3)*1,"")</f>
        <v>13</v>
      </c>
      <c r="Q91" s="10"/>
      <c r="R91" s="10"/>
      <c r="S91" s="84"/>
      <c r="T91" s="232"/>
      <c r="U91" s="228" t="str">
        <f>IF(AND(N91&lt;&gt;"",N92=""),CONCATENATE(VLOOKUP(N91,'[1]zawodnicy'!$A:$E,1,FALSE)," ",VLOOKUP(N91,'[1]zawodnicy'!$A:$E,2,FALSE)," ",VLOOKUP(N91,'[1]zawodnicy'!$A:$E,3,FALSE)," - ",VLOOKUP(N91,'[1]zawodnicy'!$A:$E,4,FALSE)),"")</f>
        <v>G0011 Jakub GERCZAK - Sanok</v>
      </c>
      <c r="V91" s="228"/>
      <c r="W91" s="56" t="str">
        <f>IF(SUM(AP87:AQ87)=0,"",AQ87&amp;":"&amp;AP87)</f>
        <v>9:21</v>
      </c>
      <c r="X91" s="27" t="str">
        <f>IF(SUM(AP88:AQ88)=0,"",AQ88&amp;":"&amp;AP88)</f>
        <v>22:20</v>
      </c>
      <c r="Y91" s="108"/>
      <c r="Z91" s="232"/>
      <c r="AA91" s="234"/>
      <c r="AB91" s="234"/>
      <c r="AC91" s="227"/>
      <c r="AD91" s="2"/>
      <c r="AE91" s="24"/>
      <c r="AF91" s="24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:63" ht="11.25" customHeight="1" thickBot="1">
      <c r="A92" s="2"/>
      <c r="J92" s="31"/>
      <c r="K92" s="31"/>
      <c r="L92" s="31"/>
      <c r="N92" s="32"/>
      <c r="O92" s="31"/>
      <c r="P92" s="31"/>
      <c r="Q92" s="2"/>
      <c r="R92" s="2"/>
      <c r="S92" s="2"/>
      <c r="T92" s="232"/>
      <c r="U92" s="229">
        <f>IF(N92&lt;&gt;"",CONCATENATE(VLOOKUP(N92,'[1]zawodnicy'!$A:$E,1,FALSE)," ",VLOOKUP(N92,'[1]zawodnicy'!$A:$E,2,FALSE)," ",VLOOKUP(N92,'[1]zawodnicy'!$A:$E,3,FALSE)," - ",VLOOKUP(N92,'[1]zawodnicy'!$A:$E,4,FALSE)),"")</f>
      </c>
      <c r="V92" s="229"/>
      <c r="W92" s="86" t="str">
        <f>IF(SUM(AR87:AS87)=0,"",AS87&amp;":"&amp;AR87)</f>
        <v>13:21</v>
      </c>
      <c r="X92" s="87" t="str">
        <f>IF(SUM(AR88:AS88)=0,"",AS88&amp;":"&amp;AR88)</f>
        <v>21:11</v>
      </c>
      <c r="Y92" s="88"/>
      <c r="Z92" s="232"/>
      <c r="AA92" s="234"/>
      <c r="AB92" s="234"/>
      <c r="AC92" s="227"/>
      <c r="AD92" s="2"/>
      <c r="AE92" s="24"/>
      <c r="AF92" s="24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ht="11.25" customHeight="1" thickBot="1"/>
    <row r="94" spans="14:32" ht="11.25" customHeight="1" thickBot="1">
      <c r="N94" s="7"/>
      <c r="O94" s="14">
        <v>2</v>
      </c>
      <c r="Q94" s="245" t="str">
        <f>"Grupa "&amp;O94&amp;"."</f>
        <v>Grupa 2.</v>
      </c>
      <c r="R94" s="245"/>
      <c r="S94" s="245"/>
      <c r="T94" s="15" t="s">
        <v>1</v>
      </c>
      <c r="U94" s="246" t="s">
        <v>2</v>
      </c>
      <c r="V94" s="246"/>
      <c r="W94" s="15">
        <v>1</v>
      </c>
      <c r="X94" s="18">
        <v>2</v>
      </c>
      <c r="Y94" s="16">
        <v>3</v>
      </c>
      <c r="Z94" s="89" t="s">
        <v>3</v>
      </c>
      <c r="AA94" s="22" t="s">
        <v>4</v>
      </c>
      <c r="AB94" s="22" t="s">
        <v>5</v>
      </c>
      <c r="AC94" s="90" t="s">
        <v>6</v>
      </c>
      <c r="AD94" s="2"/>
      <c r="AE94" s="24"/>
      <c r="AF94" s="24"/>
    </row>
    <row r="95" spans="10:45" ht="11.25" customHeight="1" thickBot="1">
      <c r="J95" s="31"/>
      <c r="K95" s="31"/>
      <c r="L95" s="31"/>
      <c r="N95" s="25" t="s">
        <v>47</v>
      </c>
      <c r="Q95" s="247" t="s">
        <v>9</v>
      </c>
      <c r="R95" s="247"/>
      <c r="S95" s="248" t="s">
        <v>10</v>
      </c>
      <c r="T95" s="249">
        <v>1</v>
      </c>
      <c r="U95" s="250">
        <f>IF(AND(N96&lt;&gt;"",N97&lt;&gt;""),CONCATENATE(VLOOKUP(N96,'[1]zawodnicy'!$A:$E,1,FALSE)," ",VLOOKUP(N96,'[1]zawodnicy'!$A:$E,2,FALSE)," ",VLOOKUP(N96,'[1]zawodnicy'!$A:$E,3,FALSE)," - ",VLOOKUP(N96,'[1]zawodnicy'!$A:$E,4,FALSE)),"")</f>
      </c>
      <c r="V95" s="250"/>
      <c r="W95" s="91"/>
      <c r="X95" s="92" t="str">
        <f>IF(SUM(AN100:AO100)=0,"",AN100&amp;":"&amp;AO100)</f>
        <v>21:17</v>
      </c>
      <c r="Y95" s="93" t="str">
        <f>IF(SUM(AN98:AO98)=0,"",AN98&amp;":"&amp;AO98)</f>
        <v>21:12</v>
      </c>
      <c r="Z95" s="249" t="str">
        <f>IF(SUM(AX98:BA98)=0,"",BD98&amp;":"&amp;BE98)</f>
        <v>88:79</v>
      </c>
      <c r="AA95" s="242" t="str">
        <f>IF(SUM(AX98:BA98)=0,"",BF98&amp;":"&amp;BG98)</f>
        <v>3:2</v>
      </c>
      <c r="AB95" s="242" t="str">
        <f>IF(SUM(AX98:BA98)=0,"",BH98&amp;":"&amp;BI98)</f>
        <v>1:1</v>
      </c>
      <c r="AC95" s="243">
        <f>IF(SUM(BH98:BH100)&gt;0,BJ98,"")</f>
        <v>2</v>
      </c>
      <c r="AD95" s="2"/>
      <c r="AE95" s="24"/>
      <c r="AF95" s="24"/>
      <c r="AH95" s="244" t="s">
        <v>7</v>
      </c>
      <c r="AI95" s="244"/>
      <c r="AJ95" s="244"/>
      <c r="AK95" s="244"/>
      <c r="AL95" s="244"/>
      <c r="AM95" s="244"/>
      <c r="AN95" s="244" t="s">
        <v>8</v>
      </c>
      <c r="AO95" s="244"/>
      <c r="AP95" s="244"/>
      <c r="AQ95" s="244"/>
      <c r="AR95" s="244"/>
      <c r="AS95" s="244"/>
    </row>
    <row r="96" spans="9:59" ht="11.25" customHeight="1" thickBot="1">
      <c r="I96" s="2" t="str">
        <f>"1"&amp;O94&amp;N95</f>
        <v>12Runners Up</v>
      </c>
      <c r="J96" s="2" t="str">
        <f>IF(AC95="","",IF(AC95=1,N96,IF(AC98=1,N99,IF(AC101=1,N102,""))))</f>
        <v>W0014</v>
      </c>
      <c r="K96" s="2">
        <f>IF(AC95="","",IF(AC95=1,N97,IF(AC98=1,N100,IF(AC101=1,N103,""))))</f>
        <v>0</v>
      </c>
      <c r="L96" s="2"/>
      <c r="N96" s="29" t="s">
        <v>51</v>
      </c>
      <c r="O96" s="30">
        <f>IF(O94&gt;0,(O94&amp;1)*1,"")</f>
        <v>21</v>
      </c>
      <c r="Q96" s="247"/>
      <c r="R96" s="247"/>
      <c r="S96" s="248"/>
      <c r="T96" s="249"/>
      <c r="U96" s="228" t="str">
        <f>IF(AND(N96&lt;&gt;"",N97=""),CONCATENATE(VLOOKUP(N96,'[1]zawodnicy'!$A:$E,1,FALSE)," ",VLOOKUP(N96,'[1]zawodnicy'!$A:$E,2,FALSE)," ",VLOOKUP(N96,'[1]zawodnicy'!$A:$E,3,FALSE)," - ",VLOOKUP(N96,'[1]zawodnicy'!$A:$E,4,FALSE)),"")</f>
        <v>O0004 Krzysztof ORZECHOWICZ - Tarnowiec</v>
      </c>
      <c r="V96" s="228"/>
      <c r="W96" s="26"/>
      <c r="X96" s="27" t="str">
        <f>IF(SUM(AP100:AQ100)=0,"",AP100&amp;":"&amp;AQ100)</f>
        <v>21:8</v>
      </c>
      <c r="Y96" s="58" t="str">
        <f>IF(SUM(AP98:AQ98)=0,"",AP98&amp;":"&amp;AQ98)</f>
        <v>13:21</v>
      </c>
      <c r="Z96" s="249"/>
      <c r="AA96" s="242"/>
      <c r="AB96" s="242"/>
      <c r="AC96" s="243"/>
      <c r="AD96" s="2"/>
      <c r="AE96" s="24"/>
      <c r="AF96" s="24"/>
      <c r="BD96" s="11">
        <f>SUM(BD98:BD100)</f>
        <v>243</v>
      </c>
      <c r="BE96" s="11">
        <f>SUM(BE98:BE100)</f>
        <v>243</v>
      </c>
      <c r="BF96" s="11">
        <f>SUM(BF98:BF100)</f>
        <v>7</v>
      </c>
      <c r="BG96" s="11">
        <f>SUM(BG98:BG100)</f>
        <v>7</v>
      </c>
    </row>
    <row r="97" spans="10:63" ht="11.25" customHeight="1" thickBot="1">
      <c r="J97" s="2"/>
      <c r="K97" s="31"/>
      <c r="L97" s="31"/>
      <c r="N97" s="32"/>
      <c r="O97" s="31"/>
      <c r="P97" s="31"/>
      <c r="Q97" s="247"/>
      <c r="R97" s="247"/>
      <c r="S97" s="248"/>
      <c r="T97" s="249"/>
      <c r="U97" s="231">
        <f>IF(N97&lt;&gt;"",CONCATENATE(VLOOKUP(N97,'[1]zawodnicy'!$A:$E,1,FALSE)," ",VLOOKUP(N97,'[1]zawodnicy'!$A:$E,2,FALSE)," ",VLOOKUP(N97,'[1]zawodnicy'!$A:$E,3,FALSE)," - ",VLOOKUP(N97,'[1]zawodnicy'!$A:$E,4,FALSE)),"")</f>
      </c>
      <c r="V97" s="231"/>
      <c r="W97" s="26"/>
      <c r="X97" s="33">
        <f>IF(SUM(AR100:AS100)=0,"",AR100&amp;":"&amp;AS100)</f>
      </c>
      <c r="Y97" s="68" t="str">
        <f>IF(SUM(AR98:AS98)=0,"",AR98&amp;":"&amp;AS98)</f>
        <v>12:21</v>
      </c>
      <c r="Z97" s="249"/>
      <c r="AA97" s="242"/>
      <c r="AB97" s="242"/>
      <c r="AC97" s="243"/>
      <c r="AD97" s="2"/>
      <c r="AE97" s="24"/>
      <c r="AF97" s="24"/>
      <c r="AH97" s="239" t="s">
        <v>12</v>
      </c>
      <c r="AI97" s="239"/>
      <c r="AJ97" s="240" t="s">
        <v>13</v>
      </c>
      <c r="AK97" s="240"/>
      <c r="AL97" s="241" t="s">
        <v>14</v>
      </c>
      <c r="AM97" s="241"/>
      <c r="AN97" s="239" t="s">
        <v>12</v>
      </c>
      <c r="AO97" s="239"/>
      <c r="AP97" s="240" t="s">
        <v>13</v>
      </c>
      <c r="AQ97" s="240"/>
      <c r="AR97" s="240" t="s">
        <v>14</v>
      </c>
      <c r="AS97" s="240"/>
      <c r="AT97" s="24"/>
      <c r="AU97" s="24"/>
      <c r="AV97" s="239">
        <v>1</v>
      </c>
      <c r="AW97" s="239"/>
      <c r="AX97" s="240">
        <v>2</v>
      </c>
      <c r="AY97" s="240"/>
      <c r="AZ97" s="241">
        <v>3</v>
      </c>
      <c r="BA97" s="241"/>
      <c r="BD97" s="235" t="s">
        <v>3</v>
      </c>
      <c r="BE97" s="235"/>
      <c r="BF97" s="235" t="s">
        <v>4</v>
      </c>
      <c r="BG97" s="235"/>
      <c r="BH97" s="235" t="s">
        <v>5</v>
      </c>
      <c r="BI97" s="235"/>
      <c r="BJ97" s="35" t="s">
        <v>6</v>
      </c>
      <c r="BK97" s="12">
        <f>SUM(BK98:BK100)</f>
        <v>0</v>
      </c>
    </row>
    <row r="98" spans="1:63" ht="11.25" customHeight="1">
      <c r="A98" s="11">
        <f>S98</f>
        <v>25</v>
      </c>
      <c r="B98" s="2" t="str">
        <f>IF(N96="","",N96)</f>
        <v>O0004</v>
      </c>
      <c r="C98" s="2">
        <f>IF(N97="","",N97)</f>
      </c>
      <c r="D98" s="2" t="str">
        <f>IF(N102="","",N102)</f>
        <v>W0014</v>
      </c>
      <c r="E98" s="2">
        <f>IF(N103="","",N103)</f>
      </c>
      <c r="I98" s="2" t="str">
        <f>"2"&amp;O94&amp;N95</f>
        <v>22Runners Up</v>
      </c>
      <c r="J98" s="2" t="str">
        <f>IF(AC98="","",IF(AC95=2,N96,IF(AC98=2,N99,IF(AC101=2,N102,""))))</f>
        <v>O0004</v>
      </c>
      <c r="K98" s="2">
        <f>IF(AC98="","",IF(AC95=2,N97,IF(AC98=2,N100,IF(AC101=2,N103,""))))</f>
        <v>0</v>
      </c>
      <c r="M98" s="2" t="str">
        <f>N95</f>
        <v>Runners Up</v>
      </c>
      <c r="O98" s="31"/>
      <c r="P98" s="31"/>
      <c r="Q98" s="36">
        <f>IF(AT98&gt;0,"",IF(A98=0,"",IF(VLOOKUP(A98,'[1]plan_gier'!A:S,19,FALSE)="","",VLOOKUP(A98,'[1]plan_gier'!A:S,19,FALSE))))</f>
      </c>
      <c r="R98" s="37" t="s">
        <v>15</v>
      </c>
      <c r="S98" s="84">
        <v>25</v>
      </c>
      <c r="T98" s="236">
        <v>2</v>
      </c>
      <c r="U98" s="233">
        <f>IF(AND(N99&lt;&gt;"",N100&lt;&gt;""),CONCATENATE(VLOOKUP(N99,'[1]zawodnicy'!$A:$E,1,FALSE)," ",VLOOKUP(N99,'[1]zawodnicy'!$A:$E,2,FALSE)," ",VLOOKUP(N99,'[1]zawodnicy'!$A:$E,3,FALSE)," - ",VLOOKUP(N99,'[1]zawodnicy'!$A:$E,4,FALSE)),"")</f>
      </c>
      <c r="V98" s="233"/>
      <c r="W98" s="39" t="str">
        <f>IF(SUM(AN100:AO100)=0,"",AO100&amp;":"&amp;AN100)</f>
        <v>17:21</v>
      </c>
      <c r="X98" s="72"/>
      <c r="Y98" s="42" t="str">
        <f>IF(SUM(AN99:AO99)=0,"",AN99&amp;":"&amp;AO99)</f>
        <v>15:21</v>
      </c>
      <c r="Z98" s="236" t="str">
        <f>IF(SUM(AV99:AW99,AZ99:BA99)=0,"",BD99&amp;":"&amp;BE99)</f>
        <v>59:84</v>
      </c>
      <c r="AA98" s="237" t="str">
        <f>IF(SUM(AV99:AW99,AZ99:BA99)=0,"",BF99&amp;":"&amp;BG99)</f>
        <v>0:4</v>
      </c>
      <c r="AB98" s="237" t="str">
        <f>IF(SUM(AV99:AW99,AZ99:BA99)=0,"",BH99&amp;":"&amp;BI99)</f>
        <v>0:2</v>
      </c>
      <c r="AC98" s="238">
        <f>IF(SUM(BH98:BH100)&gt;0,BJ99,"")</f>
        <v>3</v>
      </c>
      <c r="AD98" s="2"/>
      <c r="AE98" s="24"/>
      <c r="AF98" s="24"/>
      <c r="AG98" s="37" t="s">
        <v>15</v>
      </c>
      <c r="AH98" s="45">
        <f>IF(ISBLANK(S98),"",VLOOKUP(S98,'[1]plan_gier'!$X:$AN,12,FALSE))</f>
        <v>21</v>
      </c>
      <c r="AI98" s="46">
        <f>IF(ISBLANK(S98),"",VLOOKUP(S98,'[1]plan_gier'!$X:$AN,13,FALSE))</f>
        <v>12</v>
      </c>
      <c r="AJ98" s="46">
        <f>IF(ISBLANK(S98),"",VLOOKUP(S98,'[1]plan_gier'!$X:$AN,14,FALSE))</f>
        <v>13</v>
      </c>
      <c r="AK98" s="46">
        <f>IF(ISBLANK(S98),"",VLOOKUP(S98,'[1]plan_gier'!$X:$AN,15,FALSE))</f>
        <v>21</v>
      </c>
      <c r="AL98" s="46">
        <f>IF(ISBLANK(S98),"",VLOOKUP(S98,'[1]plan_gier'!$X:$AN,16,FALSE))</f>
        <v>12</v>
      </c>
      <c r="AM98" s="46">
        <f>IF(ISBLANK(S98),"",VLOOKUP(S98,'[1]plan_gier'!$X:$AN,17,FALSE))</f>
        <v>21</v>
      </c>
      <c r="AN98" s="94">
        <f aca="true" t="shared" si="11" ref="AN98:AS100">IF(AH98="",0,AH98)</f>
        <v>21</v>
      </c>
      <c r="AO98" s="44">
        <f t="shared" si="11"/>
        <v>12</v>
      </c>
      <c r="AP98" s="95">
        <f t="shared" si="11"/>
        <v>13</v>
      </c>
      <c r="AQ98" s="44">
        <f t="shared" si="11"/>
        <v>21</v>
      </c>
      <c r="AR98" s="95">
        <f t="shared" si="11"/>
        <v>12</v>
      </c>
      <c r="AS98" s="44">
        <f t="shared" si="11"/>
        <v>21</v>
      </c>
      <c r="AT98" s="48">
        <f>SUM(AN98:AS98)</f>
        <v>100</v>
      </c>
      <c r="AU98" s="49">
        <v>1</v>
      </c>
      <c r="AV98" s="96"/>
      <c r="AW98" s="97"/>
      <c r="AX98" s="46">
        <f>IF(AH100&gt;AI100,1,0)+IF(AJ100&gt;AK100,1,0)+IF(AL100&gt;AM100,1,0)</f>
        <v>2</v>
      </c>
      <c r="AY98" s="46">
        <f>AV99</f>
        <v>0</v>
      </c>
      <c r="AZ98" s="46">
        <f>IF(AH98&gt;AI98,1,0)+IF(AJ98&gt;AK98,1,0)+IF(AL98&gt;AM98,1,0)</f>
        <v>1</v>
      </c>
      <c r="BA98" s="47">
        <f>AV100</f>
        <v>2</v>
      </c>
      <c r="BD98" s="45">
        <f>AN98+AP98+AR98+AN100+AP100+AR100</f>
        <v>88</v>
      </c>
      <c r="BE98" s="47">
        <f>AO98+AQ98+AS98+AO100+AQ100+AS100</f>
        <v>79</v>
      </c>
      <c r="BF98" s="45">
        <f>AX98+AZ98</f>
        <v>3</v>
      </c>
      <c r="BG98" s="47">
        <f>AY98+BA98</f>
        <v>2</v>
      </c>
      <c r="BH98" s="45">
        <f>IF(AX98&gt;AY98,1,0)+IF(AZ98&gt;BA98,1,0)</f>
        <v>1</v>
      </c>
      <c r="BI98" s="51">
        <f>IF(AY98&gt;AX98,1,0)+IF(BA98&gt;AZ98,1,0)</f>
        <v>1</v>
      </c>
      <c r="BJ98" s="98">
        <f>IF(BH98+BI98=0,"",IF(BK98=MAX(BK98:BK100),1,IF(BK98=MIN(BK98:BK100),3,2)))</f>
        <v>2</v>
      </c>
      <c r="BK98" s="12">
        <f>IF(BH98+BI98&lt;&gt;0,BH98-BI98+(BF98-BG98)/100+(BD98-BE98)/10000,-2)</f>
        <v>0.0109</v>
      </c>
    </row>
    <row r="99" spans="1:63" ht="11.25" customHeight="1">
      <c r="A99" s="11">
        <f>S99</f>
        <v>28</v>
      </c>
      <c r="B99" s="2" t="str">
        <f>IF(N99="","",N99)</f>
        <v>K0038</v>
      </c>
      <c r="C99" s="2">
        <f>IF(N100="","",N100)</f>
      </c>
      <c r="D99" s="2" t="str">
        <f>IF(N102="","",N102)</f>
        <v>W0014</v>
      </c>
      <c r="E99" s="2">
        <f>IF(N103="","",N103)</f>
      </c>
      <c r="J99" s="2"/>
      <c r="K99" s="11"/>
      <c r="M99" s="2" t="str">
        <f>N95</f>
        <v>Runners Up</v>
      </c>
      <c r="N99" s="29" t="s">
        <v>52</v>
      </c>
      <c r="O99" s="30">
        <f>IF(O94&gt;0,(O94&amp;2)*1,"")</f>
        <v>22</v>
      </c>
      <c r="Q99" s="36">
        <f>IF(AT99&gt;0,"",IF(A99=0,"",IF(VLOOKUP(A99,'[1]plan_gier'!A:S,19,FALSE)="","",VLOOKUP(A99,'[1]plan_gier'!A:S,19,FALSE))))</f>
      </c>
      <c r="R99" s="37" t="s">
        <v>19</v>
      </c>
      <c r="S99" s="84">
        <v>28</v>
      </c>
      <c r="T99" s="236"/>
      <c r="U99" s="228" t="str">
        <f>IF(AND(N99&lt;&gt;"",N100=""),CONCATENATE(VLOOKUP(N99,'[1]zawodnicy'!$A:$E,1,FALSE)," ",VLOOKUP(N99,'[1]zawodnicy'!$A:$E,2,FALSE)," ",VLOOKUP(N99,'[1]zawodnicy'!$A:$E,3,FALSE)," - ",VLOOKUP(N99,'[1]zawodnicy'!$A:$E,4,FALSE)),"")</f>
        <v>K0038 Wojciech KWOLEK - Mielec</v>
      </c>
      <c r="V99" s="228"/>
      <c r="W99" s="56" t="str">
        <f>IF(SUM(AP100:AQ100)=0,"",AQ100&amp;":"&amp;AP100)</f>
        <v>8:21</v>
      </c>
      <c r="X99" s="82"/>
      <c r="Y99" s="58" t="str">
        <f>IF(SUM(AP99:AQ99)=0,"",AP99&amp;":"&amp;AQ99)</f>
        <v>19:21</v>
      </c>
      <c r="Z99" s="236"/>
      <c r="AA99" s="237"/>
      <c r="AB99" s="237"/>
      <c r="AC99" s="238"/>
      <c r="AD99" s="2"/>
      <c r="AE99" s="24"/>
      <c r="AF99" s="24"/>
      <c r="AG99" s="37" t="s">
        <v>19</v>
      </c>
      <c r="AH99" s="59">
        <f>IF(ISBLANK(S99),"",VLOOKUP(S99,'[1]plan_gier'!$X:$AN,12,FALSE))</f>
        <v>15</v>
      </c>
      <c r="AI99" s="60">
        <f>IF(ISBLANK(S99),"",VLOOKUP(S99,'[1]plan_gier'!$X:$AN,13,FALSE))</f>
        <v>21</v>
      </c>
      <c r="AJ99" s="60">
        <f>IF(ISBLANK(S99),"",VLOOKUP(S99,'[1]plan_gier'!$X:$AN,14,FALSE))</f>
        <v>19</v>
      </c>
      <c r="AK99" s="60">
        <f>IF(ISBLANK(S99),"",VLOOKUP(S99,'[1]plan_gier'!$X:$AN,15,FALSE))</f>
        <v>21</v>
      </c>
      <c r="AL99" s="60">
        <f>IF(ISBLANK(S99),"",VLOOKUP(S99,'[1]plan_gier'!$X:$AN,16,FALSE))</f>
        <v>0</v>
      </c>
      <c r="AM99" s="60">
        <f>IF(ISBLANK(S99),"",VLOOKUP(S99,'[1]plan_gier'!$X:$AN,17,FALSE))</f>
        <v>0</v>
      </c>
      <c r="AN99" s="99">
        <f t="shared" si="11"/>
        <v>15</v>
      </c>
      <c r="AO99" s="60">
        <f t="shared" si="11"/>
        <v>21</v>
      </c>
      <c r="AP99" s="100">
        <f t="shared" si="11"/>
        <v>19</v>
      </c>
      <c r="AQ99" s="60">
        <f t="shared" si="11"/>
        <v>21</v>
      </c>
      <c r="AR99" s="100">
        <f t="shared" si="11"/>
        <v>0</v>
      </c>
      <c r="AS99" s="60">
        <f t="shared" si="11"/>
        <v>0</v>
      </c>
      <c r="AT99" s="48">
        <f>SUM(AN99:AS99)</f>
        <v>76</v>
      </c>
      <c r="AU99" s="49">
        <v>2</v>
      </c>
      <c r="AV99" s="59">
        <f>IF(AH100&lt;AI100,1,0)+IF(AJ100&lt;AK100,1,0)+IF(AL100&lt;AM100,1,0)</f>
        <v>0</v>
      </c>
      <c r="AW99" s="60">
        <f>AX98</f>
        <v>2</v>
      </c>
      <c r="AX99" s="101"/>
      <c r="AY99" s="102"/>
      <c r="AZ99" s="60">
        <f>IF(AH99&gt;AI99,1,0)+IF(AJ99&gt;AK99,1,0)+IF(AL99&gt;AM99,1,0)</f>
        <v>0</v>
      </c>
      <c r="BA99" s="61">
        <f>AX100</f>
        <v>2</v>
      </c>
      <c r="BD99" s="59">
        <f>AN99+AP99+AR99+AO100+AQ100+AS100</f>
        <v>59</v>
      </c>
      <c r="BE99" s="61">
        <f>AO99+AQ99+AS99+AN100+AP100+AR100</f>
        <v>84</v>
      </c>
      <c r="BF99" s="59">
        <f>AV99+AZ99</f>
        <v>0</v>
      </c>
      <c r="BG99" s="61">
        <f>AW99+BA99</f>
        <v>4</v>
      </c>
      <c r="BH99" s="59">
        <f>IF(AV99&gt;AW99,1,0)+IF(AZ99&gt;BA99,1,0)</f>
        <v>0</v>
      </c>
      <c r="BI99" s="65">
        <f>IF(AW99&gt;AV99,1,0)+IF(BA99&gt;AZ99,1,0)</f>
        <v>2</v>
      </c>
      <c r="BJ99" s="66">
        <f>IF(BH99+BI99=0,"",IF(BK99=MAX(BK98:BK100),1,IF(BK99=MIN(BK98:BK100),3,2)))</f>
        <v>3</v>
      </c>
      <c r="BK99" s="12">
        <f>IF(BH99+BI99&lt;&gt;0,BH99-BI99+(BF99-BG99)/100+(BD99-BE99)/10000,-2)</f>
        <v>-2.0425</v>
      </c>
    </row>
    <row r="100" spans="1:63" ht="11.25" customHeight="1" thickBot="1">
      <c r="A100" s="11">
        <f>S100</f>
        <v>31</v>
      </c>
      <c r="B100" s="2" t="str">
        <f>IF(N96="","",N96)</f>
        <v>O0004</v>
      </c>
      <c r="C100" s="2">
        <f>IF(N97="","",N97)</f>
      </c>
      <c r="D100" s="2" t="str">
        <f>IF(N99="","",N99)</f>
        <v>K0038</v>
      </c>
      <c r="E100" s="2">
        <f>IF(N100="","",N100)</f>
      </c>
      <c r="I100" s="2" t="str">
        <f>"3"&amp;O94&amp;N95</f>
        <v>32Runners Up</v>
      </c>
      <c r="J100" s="2" t="str">
        <f>IF(AC101="","",IF(AC95=3,N96,IF(AC98=3,N99,IF(AC101=3,N102,""))))</f>
        <v>K0038</v>
      </c>
      <c r="K100" s="2">
        <f>IF(AC101="","",IF(AC95=3,N97,IF(AC98=3,N100,IF(AC101=3,N103,""))))</f>
        <v>0</v>
      </c>
      <c r="M100" s="2" t="str">
        <f>N95</f>
        <v>Runners Up</v>
      </c>
      <c r="N100" s="32"/>
      <c r="O100" s="31"/>
      <c r="P100" s="31"/>
      <c r="Q100" s="36">
        <f>IF(AT100&gt;0,"",IF(A100=0,"",IF(VLOOKUP(A100,'[1]plan_gier'!A:S,19,FALSE)="","",VLOOKUP(A100,'[1]plan_gier'!A:S,19,FALSE))))</f>
      </c>
      <c r="R100" s="37" t="s">
        <v>22</v>
      </c>
      <c r="S100" s="84">
        <v>31</v>
      </c>
      <c r="T100" s="236"/>
      <c r="U100" s="231">
        <f>IF(N100&lt;&gt;"",CONCATENATE(VLOOKUP(N100,'[1]zawodnicy'!$A:$E,1,FALSE)," ",VLOOKUP(N100,'[1]zawodnicy'!$A:$E,2,FALSE)," ",VLOOKUP(N100,'[1]zawodnicy'!$A:$E,3,FALSE)," - ",VLOOKUP(N100,'[1]zawodnicy'!$A:$E,4,FALSE)),"")</f>
      </c>
      <c r="V100" s="231"/>
      <c r="W100" s="67">
        <f>IF(SUM(AR100:AS100)=0,"",AS100&amp;":"&amp;AR100)</f>
      </c>
      <c r="X100" s="82"/>
      <c r="Y100" s="68">
        <f>IF(SUM(AR99:AS99)=0,"",AR99&amp;":"&amp;AS99)</f>
      </c>
      <c r="Z100" s="236"/>
      <c r="AA100" s="237"/>
      <c r="AB100" s="237"/>
      <c r="AC100" s="238"/>
      <c r="AD100" s="2"/>
      <c r="AE100" s="24"/>
      <c r="AF100" s="24"/>
      <c r="AG100" s="37" t="s">
        <v>22</v>
      </c>
      <c r="AH100" s="78">
        <f>IF(ISBLANK(S100),"",VLOOKUP(S100,'[1]plan_gier'!$X:$AN,12,FALSE))</f>
        <v>21</v>
      </c>
      <c r="AI100" s="75">
        <f>IF(ISBLANK(S100),"",VLOOKUP(S100,'[1]plan_gier'!$X:$AN,13,FALSE))</f>
        <v>17</v>
      </c>
      <c r="AJ100" s="75">
        <f>IF(ISBLANK(S100),"",VLOOKUP(S100,'[1]plan_gier'!$X:$AN,14,FALSE))</f>
        <v>21</v>
      </c>
      <c r="AK100" s="75">
        <f>IF(ISBLANK(S100),"",VLOOKUP(S100,'[1]plan_gier'!$X:$AN,15,FALSE))</f>
        <v>8</v>
      </c>
      <c r="AL100" s="75">
        <f>IF(ISBLANK(S100),"",VLOOKUP(S100,'[1]plan_gier'!$X:$AN,16,FALSE))</f>
        <v>0</v>
      </c>
      <c r="AM100" s="75">
        <f>IF(ISBLANK(S100),"",VLOOKUP(S100,'[1]plan_gier'!$X:$AN,17,FALSE))</f>
        <v>0</v>
      </c>
      <c r="AN100" s="103">
        <f t="shared" si="11"/>
        <v>21</v>
      </c>
      <c r="AO100" s="75">
        <f t="shared" si="11"/>
        <v>17</v>
      </c>
      <c r="AP100" s="104">
        <f t="shared" si="11"/>
        <v>21</v>
      </c>
      <c r="AQ100" s="75">
        <f t="shared" si="11"/>
        <v>8</v>
      </c>
      <c r="AR100" s="104">
        <f t="shared" si="11"/>
        <v>0</v>
      </c>
      <c r="AS100" s="75">
        <f t="shared" si="11"/>
        <v>0</v>
      </c>
      <c r="AT100" s="48">
        <f>SUM(AN100:AS100)</f>
        <v>67</v>
      </c>
      <c r="AU100" s="49">
        <v>3</v>
      </c>
      <c r="AV100" s="78">
        <f>IF(AH98&lt;AI98,1,0)+IF(AJ98&lt;AK98,1,0)+IF(AL98&lt;AM98,1,0)</f>
        <v>2</v>
      </c>
      <c r="AW100" s="75">
        <f>AZ98</f>
        <v>1</v>
      </c>
      <c r="AX100" s="75">
        <f>IF(AH99&lt;AI99,1,0)+IF(AJ99&lt;AK99,1,0)+IF(AL99&lt;AM99,1,0)</f>
        <v>2</v>
      </c>
      <c r="AY100" s="75">
        <f>AZ99</f>
        <v>0</v>
      </c>
      <c r="AZ100" s="105"/>
      <c r="BA100" s="106"/>
      <c r="BD100" s="78">
        <f>AO98+AQ98+AS98+AO99+AQ99+AS99</f>
        <v>96</v>
      </c>
      <c r="BE100" s="80">
        <f>AN98+AP98+AR98+AN99+AP99+AR99</f>
        <v>80</v>
      </c>
      <c r="BF100" s="78">
        <f>AV100+AX100</f>
        <v>4</v>
      </c>
      <c r="BG100" s="80">
        <f>AW100+AY100</f>
        <v>1</v>
      </c>
      <c r="BH100" s="78">
        <f>IF(AV100&gt;AW100,1,0)+IF(AX100&gt;AY100,1,0)</f>
        <v>2</v>
      </c>
      <c r="BI100" s="79">
        <f>IF(AW100&gt;AV100,1,0)+IF(AY100&gt;AX100,1,0)</f>
        <v>0</v>
      </c>
      <c r="BJ100" s="81">
        <f>IF(BH100+BI100=0,"",IF(BK100=MAX(BK98:BK100),1,IF(BK100=MIN(BK98:BK100),3,2)))</f>
        <v>1</v>
      </c>
      <c r="BK100" s="12">
        <f>IF(BH100+BI100&lt;&gt;0,BH100-BI100+(BF100-BG100)/100+(BD100-BE100)/10000,-2)</f>
        <v>2.0315999999999996</v>
      </c>
    </row>
    <row r="101" spans="1:59" ht="11.25" customHeight="1" thickBot="1">
      <c r="A101" s="2"/>
      <c r="J101" s="31"/>
      <c r="K101" s="31"/>
      <c r="L101" s="31"/>
      <c r="O101" s="31"/>
      <c r="P101" s="31"/>
      <c r="Q101" s="2"/>
      <c r="R101" s="2"/>
      <c r="S101" s="2"/>
      <c r="T101" s="232">
        <v>3</v>
      </c>
      <c r="U101" s="233">
        <f>IF(AND(N102&lt;&gt;"",N103&lt;&gt;""),CONCATENATE(VLOOKUP(N102,'[1]zawodnicy'!$A:$E,1,FALSE)," ",VLOOKUP(N102,'[1]zawodnicy'!$A:$E,2,FALSE)," ",VLOOKUP(N102,'[1]zawodnicy'!$A:$E,3,FALSE)," - ",VLOOKUP(N102,'[1]zawodnicy'!$A:$E,4,FALSE)),"")</f>
      </c>
      <c r="V101" s="233"/>
      <c r="W101" s="39" t="str">
        <f>IF(SUM(AN98:AO98)=0,"",AO98&amp;":"&amp;AN98)</f>
        <v>12:21</v>
      </c>
      <c r="X101" s="41" t="str">
        <f>IF(SUM(AN99:AO99)=0,"",AO99&amp;":"&amp;AN99)</f>
        <v>21:15</v>
      </c>
      <c r="Y101" s="107"/>
      <c r="Z101" s="232" t="str">
        <f>IF(SUM(AV100:AY100)=0,"",BD100&amp;":"&amp;BE100)</f>
        <v>96:80</v>
      </c>
      <c r="AA101" s="234" t="str">
        <f>IF(SUM(AV100:AY100)=0,"",BF100&amp;":"&amp;BG100)</f>
        <v>4:1</v>
      </c>
      <c r="AB101" s="234" t="str">
        <f>IF(SUM(AV100:AY100)=0,"",BH100&amp;":"&amp;BI100)</f>
        <v>2:0</v>
      </c>
      <c r="AC101" s="227">
        <f>IF(SUM(BH98:BH100)&gt;0,BJ100,"")</f>
        <v>1</v>
      </c>
      <c r="AD101" s="2"/>
      <c r="AE101" s="24"/>
      <c r="AF101" s="24"/>
      <c r="BD101" s="11">
        <f>SUM(BD98:BD100)</f>
        <v>243</v>
      </c>
      <c r="BE101" s="11">
        <f>SUM(BE98:BE100)</f>
        <v>243</v>
      </c>
      <c r="BF101" s="11">
        <f>SUM(BF98:BF100)</f>
        <v>7</v>
      </c>
      <c r="BG101" s="11">
        <f>SUM(BG98:BG100)</f>
        <v>7</v>
      </c>
    </row>
    <row r="102" spans="1:63" ht="11.25" customHeight="1" thickBot="1">
      <c r="A102" s="11"/>
      <c r="J102" s="11"/>
      <c r="K102" s="11"/>
      <c r="L102" s="11"/>
      <c r="N102" s="29" t="s">
        <v>53</v>
      </c>
      <c r="O102" s="30">
        <f>IF(O94&gt;0,(O94&amp;3)*1,"")</f>
        <v>23</v>
      </c>
      <c r="Q102" s="10"/>
      <c r="R102" s="10"/>
      <c r="S102" s="84"/>
      <c r="T102" s="232"/>
      <c r="U102" s="228" t="str">
        <f>IF(AND(N102&lt;&gt;"",N103=""),CONCATENATE(VLOOKUP(N102,'[1]zawodnicy'!$A:$E,1,FALSE)," ",VLOOKUP(N102,'[1]zawodnicy'!$A:$E,2,FALSE)," ",VLOOKUP(N102,'[1]zawodnicy'!$A:$E,3,FALSE)," - ",VLOOKUP(N102,'[1]zawodnicy'!$A:$E,4,FALSE)),"")</f>
        <v>W0014 Mariusz  WARNECKI - Rzeszów</v>
      </c>
      <c r="V102" s="228"/>
      <c r="W102" s="56" t="str">
        <f>IF(SUM(AP98:AQ98)=0,"",AQ98&amp;":"&amp;AP98)</f>
        <v>21:13</v>
      </c>
      <c r="X102" s="27" t="str">
        <f>IF(SUM(AP99:AQ99)=0,"",AQ99&amp;":"&amp;AP99)</f>
        <v>21:19</v>
      </c>
      <c r="Y102" s="108"/>
      <c r="Z102" s="232"/>
      <c r="AA102" s="234"/>
      <c r="AB102" s="234"/>
      <c r="AC102" s="227"/>
      <c r="AD102" s="2"/>
      <c r="AE102" s="24"/>
      <c r="AF102" s="24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:63" ht="11.25" customHeight="1" thickBot="1">
      <c r="A103" s="2"/>
      <c r="J103" s="31"/>
      <c r="K103" s="31"/>
      <c r="L103" s="31"/>
      <c r="N103" s="32"/>
      <c r="O103" s="31"/>
      <c r="P103" s="31"/>
      <c r="Q103" s="2"/>
      <c r="R103" s="2"/>
      <c r="S103" s="2"/>
      <c r="T103" s="232"/>
      <c r="U103" s="229">
        <f>IF(N103&lt;&gt;"",CONCATENATE(VLOOKUP(N103,'[1]zawodnicy'!$A:$E,1,FALSE)," ",VLOOKUP(N103,'[1]zawodnicy'!$A:$E,2,FALSE)," ",VLOOKUP(N103,'[1]zawodnicy'!$A:$E,3,FALSE)," - ",VLOOKUP(N103,'[1]zawodnicy'!$A:$E,4,FALSE)),"")</f>
      </c>
      <c r="V103" s="229"/>
      <c r="W103" s="86" t="str">
        <f>IF(SUM(AR98:AS98)=0,"",AS98&amp;":"&amp;AR98)</f>
        <v>21:12</v>
      </c>
      <c r="X103" s="87">
        <f>IF(SUM(AR99:AS99)=0,"",AS99&amp;":"&amp;AR99)</f>
      </c>
      <c r="Y103" s="88"/>
      <c r="Z103" s="232"/>
      <c r="AA103" s="234"/>
      <c r="AB103" s="234"/>
      <c r="AC103" s="227"/>
      <c r="AD103" s="2"/>
      <c r="AE103" s="24"/>
      <c r="AF103" s="24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ht="11.25" customHeight="1" thickBot="1"/>
    <row r="105" spans="14:32" ht="11.25" customHeight="1" thickBot="1">
      <c r="N105" s="7"/>
      <c r="O105" s="14">
        <v>3</v>
      </c>
      <c r="Q105" s="245" t="str">
        <f>"Grupa "&amp;O105&amp;"."</f>
        <v>Grupa 3.</v>
      </c>
      <c r="R105" s="245"/>
      <c r="S105" s="245"/>
      <c r="T105" s="15" t="s">
        <v>1</v>
      </c>
      <c r="U105" s="246" t="s">
        <v>2</v>
      </c>
      <c r="V105" s="246"/>
      <c r="W105" s="15">
        <v>1</v>
      </c>
      <c r="X105" s="18">
        <v>2</v>
      </c>
      <c r="Y105" s="16">
        <v>3</v>
      </c>
      <c r="Z105" s="89" t="s">
        <v>3</v>
      </c>
      <c r="AA105" s="22" t="s">
        <v>4</v>
      </c>
      <c r="AB105" s="22" t="s">
        <v>5</v>
      </c>
      <c r="AC105" s="90" t="s">
        <v>6</v>
      </c>
      <c r="AD105" s="2"/>
      <c r="AE105" s="24"/>
      <c r="AF105" s="24"/>
    </row>
    <row r="106" spans="10:45" ht="11.25" customHeight="1" thickBot="1">
      <c r="J106" s="31"/>
      <c r="K106" s="31"/>
      <c r="L106" s="31"/>
      <c r="N106" s="25" t="s">
        <v>47</v>
      </c>
      <c r="Q106" s="247" t="s">
        <v>9</v>
      </c>
      <c r="R106" s="247"/>
      <c r="S106" s="248" t="s">
        <v>10</v>
      </c>
      <c r="T106" s="249">
        <v>1</v>
      </c>
      <c r="U106" s="250">
        <f>IF(AND(N107&lt;&gt;"",N108&lt;&gt;""),CONCATENATE(VLOOKUP(N107,'[1]zawodnicy'!$A:$E,1,FALSE)," ",VLOOKUP(N107,'[1]zawodnicy'!$A:$E,2,FALSE)," ",VLOOKUP(N107,'[1]zawodnicy'!$A:$E,3,FALSE)," - ",VLOOKUP(N107,'[1]zawodnicy'!$A:$E,4,FALSE)),"")</f>
      </c>
      <c r="V106" s="250"/>
      <c r="W106" s="91"/>
      <c r="X106" s="92" t="str">
        <f>IF(SUM(AN111:AO111)=0,"",AN111&amp;":"&amp;AO111)</f>
        <v>11:21</v>
      </c>
      <c r="Y106" s="93" t="str">
        <f>IF(SUM(AN109:AO109)=0,"",AN109&amp;":"&amp;AO109)</f>
        <v>21:11</v>
      </c>
      <c r="Z106" s="249" t="str">
        <f>IF(SUM(AX109:BA109)=0,"",BD109&amp;":"&amp;BE109)</f>
        <v>95:62</v>
      </c>
      <c r="AA106" s="242" t="str">
        <f>IF(SUM(AX109:BA109)=0,"",BF109&amp;":"&amp;BG109)</f>
        <v>4:1</v>
      </c>
      <c r="AB106" s="242" t="str">
        <f>IF(SUM(AX109:BA109)=0,"",BH109&amp;":"&amp;BI109)</f>
        <v>2:0</v>
      </c>
      <c r="AC106" s="243">
        <f>IF(SUM(BH109:BH111)&gt;0,BJ109,"")</f>
        <v>1</v>
      </c>
      <c r="AD106" s="2"/>
      <c r="AE106" s="24"/>
      <c r="AF106" s="24"/>
      <c r="AH106" s="244" t="s">
        <v>7</v>
      </c>
      <c r="AI106" s="244"/>
      <c r="AJ106" s="244"/>
      <c r="AK106" s="244"/>
      <c r="AL106" s="244"/>
      <c r="AM106" s="244"/>
      <c r="AN106" s="244" t="s">
        <v>8</v>
      </c>
      <c r="AO106" s="244"/>
      <c r="AP106" s="244"/>
      <c r="AQ106" s="244"/>
      <c r="AR106" s="244"/>
      <c r="AS106" s="244"/>
    </row>
    <row r="107" spans="9:59" ht="11.25" customHeight="1" thickBot="1">
      <c r="I107" s="2" t="str">
        <f>"1"&amp;O105&amp;N106</f>
        <v>13Runners Up</v>
      </c>
      <c r="J107" s="2" t="str">
        <f>IF(AC106="","",IF(AC106=1,N107,IF(AC109=1,N110,IF(AC112=1,N113,""))))</f>
        <v>K0012</v>
      </c>
      <c r="K107" s="2">
        <f>IF(AC106="","",IF(AC106=1,N108,IF(AC109=1,N111,IF(AC112=1,N114,""))))</f>
        <v>0</v>
      </c>
      <c r="L107" s="2"/>
      <c r="N107" s="29" t="s">
        <v>54</v>
      </c>
      <c r="O107" s="30">
        <f>IF(O105&gt;0,(O105&amp;1)*1,"")</f>
        <v>31</v>
      </c>
      <c r="Q107" s="247"/>
      <c r="R107" s="247"/>
      <c r="S107" s="248"/>
      <c r="T107" s="249"/>
      <c r="U107" s="228" t="str">
        <f>IF(AND(N107&lt;&gt;"",N108=""),CONCATENATE(VLOOKUP(N107,'[1]zawodnicy'!$A:$E,1,FALSE)," ",VLOOKUP(N107,'[1]zawodnicy'!$A:$E,2,FALSE)," ",VLOOKUP(N107,'[1]zawodnicy'!$A:$E,3,FALSE)," - ",VLOOKUP(N107,'[1]zawodnicy'!$A:$E,4,FALSE)),"")</f>
        <v>K0012 Piotr KOTERBA - Rzeszów</v>
      </c>
      <c r="V107" s="228"/>
      <c r="W107" s="26"/>
      <c r="X107" s="27" t="str">
        <f>IF(SUM(AP111:AQ111)=0,"",AP111&amp;":"&amp;AQ111)</f>
        <v>21:15</v>
      </c>
      <c r="Y107" s="58" t="str">
        <f>IF(SUM(AP109:AQ109)=0,"",AP109&amp;":"&amp;AQ109)</f>
        <v>21:7</v>
      </c>
      <c r="Z107" s="249"/>
      <c r="AA107" s="242"/>
      <c r="AB107" s="242"/>
      <c r="AC107" s="243"/>
      <c r="AD107" s="2"/>
      <c r="AE107" s="24"/>
      <c r="AF107" s="24"/>
      <c r="BD107" s="11">
        <f>SUM(BD109:BD111)</f>
        <v>216</v>
      </c>
      <c r="BE107" s="11">
        <f>SUM(BE109:BE111)</f>
        <v>216</v>
      </c>
      <c r="BF107" s="11">
        <f>SUM(BF109:BF111)</f>
        <v>7</v>
      </c>
      <c r="BG107" s="11">
        <f>SUM(BG109:BG111)</f>
        <v>7</v>
      </c>
    </row>
    <row r="108" spans="10:63" ht="11.25" customHeight="1" thickBot="1">
      <c r="J108" s="2"/>
      <c r="K108" s="31"/>
      <c r="L108" s="31"/>
      <c r="N108" s="32"/>
      <c r="O108" s="31"/>
      <c r="P108" s="31"/>
      <c r="Q108" s="247"/>
      <c r="R108" s="247"/>
      <c r="S108" s="248"/>
      <c r="T108" s="249"/>
      <c r="U108" s="231">
        <f>IF(N108&lt;&gt;"",CONCATENATE(VLOOKUP(N108,'[1]zawodnicy'!$A:$E,1,FALSE)," ",VLOOKUP(N108,'[1]zawodnicy'!$A:$E,2,FALSE)," ",VLOOKUP(N108,'[1]zawodnicy'!$A:$E,3,FALSE)," - ",VLOOKUP(N108,'[1]zawodnicy'!$A:$E,4,FALSE)),"")</f>
      </c>
      <c r="V108" s="231"/>
      <c r="W108" s="26"/>
      <c r="X108" s="33" t="str">
        <f>IF(SUM(AR111:AS111)=0,"",AR111&amp;":"&amp;AS111)</f>
        <v>21:8</v>
      </c>
      <c r="Y108" s="68">
        <f>IF(SUM(AR109:AS109)=0,"",AR109&amp;":"&amp;AS109)</f>
      </c>
      <c r="Z108" s="249"/>
      <c r="AA108" s="242"/>
      <c r="AB108" s="242"/>
      <c r="AC108" s="243"/>
      <c r="AD108" s="2"/>
      <c r="AE108" s="24"/>
      <c r="AF108" s="24"/>
      <c r="AH108" s="239" t="s">
        <v>12</v>
      </c>
      <c r="AI108" s="239"/>
      <c r="AJ108" s="240" t="s">
        <v>13</v>
      </c>
      <c r="AK108" s="240"/>
      <c r="AL108" s="241" t="s">
        <v>14</v>
      </c>
      <c r="AM108" s="241"/>
      <c r="AN108" s="239" t="s">
        <v>12</v>
      </c>
      <c r="AO108" s="239"/>
      <c r="AP108" s="240" t="s">
        <v>13</v>
      </c>
      <c r="AQ108" s="240"/>
      <c r="AR108" s="240" t="s">
        <v>14</v>
      </c>
      <c r="AS108" s="240"/>
      <c r="AT108" s="24"/>
      <c r="AU108" s="24"/>
      <c r="AV108" s="239">
        <v>1</v>
      </c>
      <c r="AW108" s="239"/>
      <c r="AX108" s="240">
        <v>2</v>
      </c>
      <c r="AY108" s="240"/>
      <c r="AZ108" s="241">
        <v>3</v>
      </c>
      <c r="BA108" s="241"/>
      <c r="BD108" s="235" t="s">
        <v>3</v>
      </c>
      <c r="BE108" s="235"/>
      <c r="BF108" s="235" t="s">
        <v>4</v>
      </c>
      <c r="BG108" s="235"/>
      <c r="BH108" s="235" t="s">
        <v>5</v>
      </c>
      <c r="BI108" s="235"/>
      <c r="BJ108" s="35" t="s">
        <v>6</v>
      </c>
      <c r="BK108" s="12">
        <f>SUM(BK109:BK111)</f>
        <v>0</v>
      </c>
    </row>
    <row r="109" spans="1:63" ht="11.25" customHeight="1">
      <c r="A109" s="11">
        <f>S109</f>
        <v>26</v>
      </c>
      <c r="B109" s="2" t="str">
        <f>IF(N107="","",N107)</f>
        <v>K0012</v>
      </c>
      <c r="C109" s="2">
        <f>IF(N108="","",N108)</f>
      </c>
      <c r="D109" s="2" t="str">
        <f>IF(N113="","",N113)</f>
        <v>G0015</v>
      </c>
      <c r="E109" s="2">
        <f>IF(N114="","",N114)</f>
      </c>
      <c r="I109" s="2" t="str">
        <f>"2"&amp;O105&amp;N106</f>
        <v>23Runners Up</v>
      </c>
      <c r="J109" s="2" t="str">
        <f>IF(AC109="","",IF(AC106=2,N107,IF(AC109=2,N110,IF(AC112=2,N113,""))))</f>
        <v>K0022</v>
      </c>
      <c r="K109" s="2">
        <f>IF(AC109="","",IF(AC106=2,N108,IF(AC109=2,N111,IF(AC112=2,N114,""))))</f>
        <v>0</v>
      </c>
      <c r="M109" s="2" t="str">
        <f>N106</f>
        <v>Runners Up</v>
      </c>
      <c r="O109" s="31"/>
      <c r="P109" s="31"/>
      <c r="Q109" s="36">
        <f>IF(AT109&gt;0,"",IF(A109=0,"",IF(VLOOKUP(A109,'[1]plan_gier'!A:S,19,FALSE)="","",VLOOKUP(A109,'[1]plan_gier'!A:S,19,FALSE))))</f>
      </c>
      <c r="R109" s="37" t="s">
        <v>15</v>
      </c>
      <c r="S109" s="84">
        <v>26</v>
      </c>
      <c r="T109" s="236">
        <v>2</v>
      </c>
      <c r="U109" s="233">
        <f>IF(AND(N110&lt;&gt;"",N111&lt;&gt;""),CONCATENATE(VLOOKUP(N110,'[1]zawodnicy'!$A:$E,1,FALSE)," ",VLOOKUP(N110,'[1]zawodnicy'!$A:$E,2,FALSE)," ",VLOOKUP(N110,'[1]zawodnicy'!$A:$E,3,FALSE)," - ",VLOOKUP(N110,'[1]zawodnicy'!$A:$E,4,FALSE)),"")</f>
      </c>
      <c r="V109" s="233"/>
      <c r="W109" s="39" t="str">
        <f>IF(SUM(AN111:AO111)=0,"",AO111&amp;":"&amp;AN111)</f>
        <v>21:11</v>
      </c>
      <c r="X109" s="72"/>
      <c r="Y109" s="42" t="str">
        <f>IF(SUM(AN110:AO110)=0,"",AN110&amp;":"&amp;AO110)</f>
        <v>21:10</v>
      </c>
      <c r="Z109" s="236" t="str">
        <f>IF(SUM(AV110:AW110,AZ110:BA110)=0,"",BD110&amp;":"&amp;BE110)</f>
        <v>86:70</v>
      </c>
      <c r="AA109" s="237" t="str">
        <f>IF(SUM(AV110:AW110,AZ110:BA110)=0,"",BF110&amp;":"&amp;BG110)</f>
        <v>3:2</v>
      </c>
      <c r="AB109" s="237" t="str">
        <f>IF(SUM(AV110:AW110,AZ110:BA110)=0,"",BH110&amp;":"&amp;BI110)</f>
        <v>1:1</v>
      </c>
      <c r="AC109" s="238">
        <f>IF(SUM(BH109:BH111)&gt;0,BJ110,"")</f>
        <v>2</v>
      </c>
      <c r="AD109" s="2"/>
      <c r="AE109" s="24"/>
      <c r="AF109" s="24"/>
      <c r="AG109" s="37" t="s">
        <v>15</v>
      </c>
      <c r="AH109" s="45">
        <f>IF(ISBLANK(S109),"",VLOOKUP(S109,'[1]plan_gier'!$X:$AN,12,FALSE))</f>
        <v>21</v>
      </c>
      <c r="AI109" s="46">
        <f>IF(ISBLANK(S109),"",VLOOKUP(S109,'[1]plan_gier'!$X:$AN,13,FALSE))</f>
        <v>11</v>
      </c>
      <c r="AJ109" s="46">
        <f>IF(ISBLANK(S109),"",VLOOKUP(S109,'[1]plan_gier'!$X:$AN,14,FALSE))</f>
        <v>21</v>
      </c>
      <c r="AK109" s="46">
        <f>IF(ISBLANK(S109),"",VLOOKUP(S109,'[1]plan_gier'!$X:$AN,15,FALSE))</f>
        <v>7</v>
      </c>
      <c r="AL109" s="46">
        <f>IF(ISBLANK(S109),"",VLOOKUP(S109,'[1]plan_gier'!$X:$AN,16,FALSE))</f>
        <v>0</v>
      </c>
      <c r="AM109" s="46">
        <f>IF(ISBLANK(S109),"",VLOOKUP(S109,'[1]plan_gier'!$X:$AN,17,FALSE))</f>
        <v>0</v>
      </c>
      <c r="AN109" s="94">
        <f aca="true" t="shared" si="12" ref="AN109:AS111">IF(AH109="",0,AH109)</f>
        <v>21</v>
      </c>
      <c r="AO109" s="44">
        <f t="shared" si="12"/>
        <v>11</v>
      </c>
      <c r="AP109" s="95">
        <f t="shared" si="12"/>
        <v>21</v>
      </c>
      <c r="AQ109" s="44">
        <f t="shared" si="12"/>
        <v>7</v>
      </c>
      <c r="AR109" s="95">
        <f t="shared" si="12"/>
        <v>0</v>
      </c>
      <c r="AS109" s="44">
        <f t="shared" si="12"/>
        <v>0</v>
      </c>
      <c r="AT109" s="48">
        <f>SUM(AN109:AS109)</f>
        <v>60</v>
      </c>
      <c r="AU109" s="49">
        <v>1</v>
      </c>
      <c r="AV109" s="96"/>
      <c r="AW109" s="97"/>
      <c r="AX109" s="46">
        <f>IF(AH111&gt;AI111,1,0)+IF(AJ111&gt;AK111,1,0)+IF(AL111&gt;AM111,1,0)</f>
        <v>2</v>
      </c>
      <c r="AY109" s="46">
        <f>AV110</f>
        <v>1</v>
      </c>
      <c r="AZ109" s="46">
        <f>IF(AH109&gt;AI109,1,0)+IF(AJ109&gt;AK109,1,0)+IF(AL109&gt;AM109,1,0)</f>
        <v>2</v>
      </c>
      <c r="BA109" s="47">
        <f>AV111</f>
        <v>0</v>
      </c>
      <c r="BD109" s="45">
        <f>AN109+AP109+AR109+AN111+AP111+AR111</f>
        <v>95</v>
      </c>
      <c r="BE109" s="47">
        <f>AO109+AQ109+AS109+AO111+AQ111+AS111</f>
        <v>62</v>
      </c>
      <c r="BF109" s="45">
        <f>AX109+AZ109</f>
        <v>4</v>
      </c>
      <c r="BG109" s="47">
        <f>AY109+BA109</f>
        <v>1</v>
      </c>
      <c r="BH109" s="45">
        <f>IF(AX109&gt;AY109,1,0)+IF(AZ109&gt;BA109,1,0)</f>
        <v>2</v>
      </c>
      <c r="BI109" s="51">
        <f>IF(AY109&gt;AX109,1,0)+IF(BA109&gt;AZ109,1,0)</f>
        <v>0</v>
      </c>
      <c r="BJ109" s="98">
        <f>IF(BH109+BI109=0,"",IF(BK109=MAX(BK109:BK111),1,IF(BK109=MIN(BK109:BK111),3,2)))</f>
        <v>1</v>
      </c>
      <c r="BK109" s="12">
        <f>IF(BH109+BI109&lt;&gt;0,BH109-BI109+(BF109-BG109)/100+(BD109-BE109)/10000,-2)</f>
        <v>2.0332999999999997</v>
      </c>
    </row>
    <row r="110" spans="1:63" ht="11.25" customHeight="1">
      <c r="A110" s="11">
        <f>S110</f>
        <v>29</v>
      </c>
      <c r="B110" s="2" t="str">
        <f>IF(N110="","",N110)</f>
        <v>K0022</v>
      </c>
      <c r="C110" s="2">
        <f>IF(N111="","",N111)</f>
      </c>
      <c r="D110" s="2" t="str">
        <f>IF(N113="","",N113)</f>
        <v>G0015</v>
      </c>
      <c r="E110" s="2">
        <f>IF(N114="","",N114)</f>
      </c>
      <c r="J110" s="2"/>
      <c r="K110" s="11"/>
      <c r="M110" s="2" t="str">
        <f>N106</f>
        <v>Runners Up</v>
      </c>
      <c r="N110" s="29" t="s">
        <v>55</v>
      </c>
      <c r="O110" s="30">
        <f>IF(O105&gt;0,(O105&amp;2)*1,"")</f>
        <v>32</v>
      </c>
      <c r="Q110" s="36">
        <f>IF(AT110&gt;0,"",IF(A110=0,"",IF(VLOOKUP(A110,'[1]plan_gier'!A:S,19,FALSE)="","",VLOOKUP(A110,'[1]plan_gier'!A:S,19,FALSE))))</f>
      </c>
      <c r="R110" s="37" t="s">
        <v>19</v>
      </c>
      <c r="S110" s="84">
        <v>29</v>
      </c>
      <c r="T110" s="236"/>
      <c r="U110" s="228" t="str">
        <f>IF(AND(N110&lt;&gt;"",N111=""),CONCATENATE(VLOOKUP(N110,'[1]zawodnicy'!$A:$E,1,FALSE)," ",VLOOKUP(N110,'[1]zawodnicy'!$A:$E,2,FALSE)," ",VLOOKUP(N110,'[1]zawodnicy'!$A:$E,3,FALSE)," - ",VLOOKUP(N110,'[1]zawodnicy'!$A:$E,4,FALSE)),"")</f>
        <v>K0022 Hubert KUKOWSKI - Mielec</v>
      </c>
      <c r="V110" s="228"/>
      <c r="W110" s="56" t="str">
        <f>IF(SUM(AP111:AQ111)=0,"",AQ111&amp;":"&amp;AP111)</f>
        <v>15:21</v>
      </c>
      <c r="X110" s="82"/>
      <c r="Y110" s="58" t="str">
        <f>IF(SUM(AP110:AQ110)=0,"",AP110&amp;":"&amp;AQ110)</f>
        <v>21:7</v>
      </c>
      <c r="Z110" s="236"/>
      <c r="AA110" s="237"/>
      <c r="AB110" s="237"/>
      <c r="AC110" s="238"/>
      <c r="AD110" s="2"/>
      <c r="AE110" s="24"/>
      <c r="AF110" s="24"/>
      <c r="AG110" s="37" t="s">
        <v>19</v>
      </c>
      <c r="AH110" s="59">
        <f>IF(ISBLANK(S110),"",VLOOKUP(S110,'[1]plan_gier'!$X:$AN,12,FALSE))</f>
        <v>21</v>
      </c>
      <c r="AI110" s="60">
        <f>IF(ISBLANK(S110),"",VLOOKUP(S110,'[1]plan_gier'!$X:$AN,13,FALSE))</f>
        <v>10</v>
      </c>
      <c r="AJ110" s="60">
        <f>IF(ISBLANK(S110),"",VLOOKUP(S110,'[1]plan_gier'!$X:$AN,14,FALSE))</f>
        <v>21</v>
      </c>
      <c r="AK110" s="60">
        <f>IF(ISBLANK(S110),"",VLOOKUP(S110,'[1]plan_gier'!$X:$AN,15,FALSE))</f>
        <v>7</v>
      </c>
      <c r="AL110" s="60">
        <f>IF(ISBLANK(S110),"",VLOOKUP(S110,'[1]plan_gier'!$X:$AN,16,FALSE))</f>
        <v>0</v>
      </c>
      <c r="AM110" s="60">
        <f>IF(ISBLANK(S110),"",VLOOKUP(S110,'[1]plan_gier'!$X:$AN,17,FALSE))</f>
        <v>0</v>
      </c>
      <c r="AN110" s="99">
        <f t="shared" si="12"/>
        <v>21</v>
      </c>
      <c r="AO110" s="60">
        <f t="shared" si="12"/>
        <v>10</v>
      </c>
      <c r="AP110" s="100">
        <f t="shared" si="12"/>
        <v>21</v>
      </c>
      <c r="AQ110" s="60">
        <f t="shared" si="12"/>
        <v>7</v>
      </c>
      <c r="AR110" s="100">
        <f t="shared" si="12"/>
        <v>0</v>
      </c>
      <c r="AS110" s="60">
        <f t="shared" si="12"/>
        <v>0</v>
      </c>
      <c r="AT110" s="48">
        <f>SUM(AN110:AS110)</f>
        <v>59</v>
      </c>
      <c r="AU110" s="49">
        <v>2</v>
      </c>
      <c r="AV110" s="59">
        <f>IF(AH111&lt;AI111,1,0)+IF(AJ111&lt;AK111,1,0)+IF(AL111&lt;AM111,1,0)</f>
        <v>1</v>
      </c>
      <c r="AW110" s="60">
        <f>AX109</f>
        <v>2</v>
      </c>
      <c r="AX110" s="101"/>
      <c r="AY110" s="102"/>
      <c r="AZ110" s="60">
        <f>IF(AH110&gt;AI110,1,0)+IF(AJ110&gt;AK110,1,0)+IF(AL110&gt;AM110,1,0)</f>
        <v>2</v>
      </c>
      <c r="BA110" s="61">
        <f>AX111</f>
        <v>0</v>
      </c>
      <c r="BD110" s="59">
        <f>AN110+AP110+AR110+AO111+AQ111+AS111</f>
        <v>86</v>
      </c>
      <c r="BE110" s="61">
        <f>AO110+AQ110+AS110+AN111+AP111+AR111</f>
        <v>70</v>
      </c>
      <c r="BF110" s="59">
        <f>AV110+AZ110</f>
        <v>3</v>
      </c>
      <c r="BG110" s="61">
        <f>AW110+BA110</f>
        <v>2</v>
      </c>
      <c r="BH110" s="59">
        <f>IF(AV110&gt;AW110,1,0)+IF(AZ110&gt;BA110,1,0)</f>
        <v>1</v>
      </c>
      <c r="BI110" s="65">
        <f>IF(AW110&gt;AV110,1,0)+IF(BA110&gt;AZ110,1,0)</f>
        <v>1</v>
      </c>
      <c r="BJ110" s="66">
        <f>IF(BH110+BI110=0,"",IF(BK110=MAX(BK109:BK111),1,IF(BK110=MIN(BK109:BK111),3,2)))</f>
        <v>2</v>
      </c>
      <c r="BK110" s="12">
        <f>IF(BH110+BI110&lt;&gt;0,BH110-BI110+(BF110-BG110)/100+(BD110-BE110)/10000,-2)</f>
        <v>0.011600000000000001</v>
      </c>
    </row>
    <row r="111" spans="1:63" ht="11.25" customHeight="1" thickBot="1">
      <c r="A111" s="11">
        <f>S111</f>
        <v>32</v>
      </c>
      <c r="B111" s="2" t="str">
        <f>IF(N107="","",N107)</f>
        <v>K0012</v>
      </c>
      <c r="C111" s="2">
        <f>IF(N108="","",N108)</f>
      </c>
      <c r="D111" s="2" t="str">
        <f>IF(N110="","",N110)</f>
        <v>K0022</v>
      </c>
      <c r="E111" s="2">
        <f>IF(N111="","",N111)</f>
      </c>
      <c r="I111" s="2" t="str">
        <f>"3"&amp;O105&amp;N106</f>
        <v>33Runners Up</v>
      </c>
      <c r="J111" s="2" t="str">
        <f>IF(AC112="","",IF(AC106=3,N107,IF(AC109=3,N110,IF(AC112=3,N113,""))))</f>
        <v>G0015</v>
      </c>
      <c r="K111" s="2">
        <f>IF(AC112="","",IF(AC106=3,N108,IF(AC109=3,N111,IF(AC112=3,N114,""))))</f>
        <v>0</v>
      </c>
      <c r="M111" s="2" t="str">
        <f>N106</f>
        <v>Runners Up</v>
      </c>
      <c r="N111" s="32"/>
      <c r="O111" s="31"/>
      <c r="P111" s="31"/>
      <c r="Q111" s="36">
        <f>IF(AT111&gt;0,"",IF(A111=0,"",IF(VLOOKUP(A111,'[1]plan_gier'!A:S,19,FALSE)="","",VLOOKUP(A111,'[1]plan_gier'!A:S,19,FALSE))))</f>
      </c>
      <c r="R111" s="37" t="s">
        <v>22</v>
      </c>
      <c r="S111" s="84">
        <v>32</v>
      </c>
      <c r="T111" s="236"/>
      <c r="U111" s="231">
        <f>IF(N111&lt;&gt;"",CONCATENATE(VLOOKUP(N111,'[1]zawodnicy'!$A:$E,1,FALSE)," ",VLOOKUP(N111,'[1]zawodnicy'!$A:$E,2,FALSE)," ",VLOOKUP(N111,'[1]zawodnicy'!$A:$E,3,FALSE)," - ",VLOOKUP(N111,'[1]zawodnicy'!$A:$E,4,FALSE)),"")</f>
      </c>
      <c r="V111" s="231"/>
      <c r="W111" s="67" t="str">
        <f>IF(SUM(AR111:AS111)=0,"",AS111&amp;":"&amp;AR111)</f>
        <v>8:21</v>
      </c>
      <c r="X111" s="82"/>
      <c r="Y111" s="68">
        <f>IF(SUM(AR110:AS110)=0,"",AR110&amp;":"&amp;AS110)</f>
      </c>
      <c r="Z111" s="236"/>
      <c r="AA111" s="237"/>
      <c r="AB111" s="237"/>
      <c r="AC111" s="238"/>
      <c r="AD111" s="2"/>
      <c r="AE111" s="24"/>
      <c r="AF111" s="24"/>
      <c r="AG111" s="37" t="s">
        <v>22</v>
      </c>
      <c r="AH111" s="78">
        <f>IF(ISBLANK(S111),"",VLOOKUP(S111,'[1]plan_gier'!$X:$AN,12,FALSE))</f>
        <v>11</v>
      </c>
      <c r="AI111" s="75">
        <f>IF(ISBLANK(S111),"",VLOOKUP(S111,'[1]plan_gier'!$X:$AN,13,FALSE))</f>
        <v>21</v>
      </c>
      <c r="AJ111" s="75">
        <f>IF(ISBLANK(S111),"",VLOOKUP(S111,'[1]plan_gier'!$X:$AN,14,FALSE))</f>
        <v>21</v>
      </c>
      <c r="AK111" s="75">
        <f>IF(ISBLANK(S111),"",VLOOKUP(S111,'[1]plan_gier'!$X:$AN,15,FALSE))</f>
        <v>15</v>
      </c>
      <c r="AL111" s="75">
        <f>IF(ISBLANK(S111),"",VLOOKUP(S111,'[1]plan_gier'!$X:$AN,16,FALSE))</f>
        <v>21</v>
      </c>
      <c r="AM111" s="75">
        <f>IF(ISBLANK(S111),"",VLOOKUP(S111,'[1]plan_gier'!$X:$AN,17,FALSE))</f>
        <v>8</v>
      </c>
      <c r="AN111" s="103">
        <f t="shared" si="12"/>
        <v>11</v>
      </c>
      <c r="AO111" s="75">
        <f t="shared" si="12"/>
        <v>21</v>
      </c>
      <c r="AP111" s="104">
        <f t="shared" si="12"/>
        <v>21</v>
      </c>
      <c r="AQ111" s="75">
        <f t="shared" si="12"/>
        <v>15</v>
      </c>
      <c r="AR111" s="104">
        <f t="shared" si="12"/>
        <v>21</v>
      </c>
      <c r="AS111" s="75">
        <f t="shared" si="12"/>
        <v>8</v>
      </c>
      <c r="AT111" s="48">
        <f>SUM(AN111:AS111)</f>
        <v>97</v>
      </c>
      <c r="AU111" s="49">
        <v>3</v>
      </c>
      <c r="AV111" s="78">
        <f>IF(AH109&lt;AI109,1,0)+IF(AJ109&lt;AK109,1,0)+IF(AL109&lt;AM109,1,0)</f>
        <v>0</v>
      </c>
      <c r="AW111" s="75">
        <f>AZ109</f>
        <v>2</v>
      </c>
      <c r="AX111" s="75">
        <f>IF(AH110&lt;AI110,1,0)+IF(AJ110&lt;AK110,1,0)+IF(AL110&lt;AM110,1,0)</f>
        <v>0</v>
      </c>
      <c r="AY111" s="75">
        <f>AZ110</f>
        <v>2</v>
      </c>
      <c r="AZ111" s="105"/>
      <c r="BA111" s="106"/>
      <c r="BD111" s="78">
        <f>AO109+AQ109+AS109+AO110+AQ110+AS110</f>
        <v>35</v>
      </c>
      <c r="BE111" s="80">
        <f>AN109+AP109+AR109+AN110+AP110+AR110</f>
        <v>84</v>
      </c>
      <c r="BF111" s="78">
        <f>AV111+AX111</f>
        <v>0</v>
      </c>
      <c r="BG111" s="80">
        <f>AW111+AY111</f>
        <v>4</v>
      </c>
      <c r="BH111" s="78">
        <f>IF(AV111&gt;AW111,1,0)+IF(AX111&gt;AY111,1,0)</f>
        <v>0</v>
      </c>
      <c r="BI111" s="79">
        <f>IF(AW111&gt;AV111,1,0)+IF(AY111&gt;AX111,1,0)</f>
        <v>2</v>
      </c>
      <c r="BJ111" s="81">
        <f>IF(BH111+BI111=0,"",IF(BK111=MAX(BK109:BK111),1,IF(BK111=MIN(BK109:BK111),3,2)))</f>
        <v>3</v>
      </c>
      <c r="BK111" s="12">
        <f>IF(BH111+BI111&lt;&gt;0,BH111-BI111+(BF111-BG111)/100+(BD111-BE111)/10000,-2)</f>
        <v>-2.0449</v>
      </c>
    </row>
    <row r="112" spans="1:59" ht="11.25" customHeight="1" thickBot="1">
      <c r="A112" s="2"/>
      <c r="J112" s="31"/>
      <c r="K112" s="31"/>
      <c r="L112" s="31"/>
      <c r="O112" s="31"/>
      <c r="P112" s="31"/>
      <c r="Q112" s="2"/>
      <c r="R112" s="2"/>
      <c r="S112" s="2"/>
      <c r="T112" s="232">
        <v>3</v>
      </c>
      <c r="U112" s="233">
        <f>IF(AND(N113&lt;&gt;"",N114&lt;&gt;""),CONCATENATE(VLOOKUP(N113,'[1]zawodnicy'!$A:$E,1,FALSE)," ",VLOOKUP(N113,'[1]zawodnicy'!$A:$E,2,FALSE)," ",VLOOKUP(N113,'[1]zawodnicy'!$A:$E,3,FALSE)," - ",VLOOKUP(N113,'[1]zawodnicy'!$A:$E,4,FALSE)),"")</f>
      </c>
      <c r="V112" s="233"/>
      <c r="W112" s="39" t="str">
        <f>IF(SUM(AN109:AO109)=0,"",AO109&amp;":"&amp;AN109)</f>
        <v>11:21</v>
      </c>
      <c r="X112" s="41" t="str">
        <f>IF(SUM(AN110:AO110)=0,"",AO110&amp;":"&amp;AN110)</f>
        <v>10:21</v>
      </c>
      <c r="Y112" s="107"/>
      <c r="Z112" s="232" t="str">
        <f>IF(SUM(AV111:AY111)=0,"",BD111&amp;":"&amp;BE111)</f>
        <v>35:84</v>
      </c>
      <c r="AA112" s="234" t="str">
        <f>IF(SUM(AV111:AY111)=0,"",BF111&amp;":"&amp;BG111)</f>
        <v>0:4</v>
      </c>
      <c r="AB112" s="234" t="str">
        <f>IF(SUM(AV111:AY111)=0,"",BH111&amp;":"&amp;BI111)</f>
        <v>0:2</v>
      </c>
      <c r="AC112" s="227">
        <f>IF(SUM(BH109:BH111)&gt;0,BJ111,"")</f>
        <v>3</v>
      </c>
      <c r="AD112" s="2"/>
      <c r="AE112" s="24"/>
      <c r="AF112" s="24"/>
      <c r="BD112" s="11">
        <f>SUM(BD109:BD111)</f>
        <v>216</v>
      </c>
      <c r="BE112" s="11">
        <f>SUM(BE109:BE111)</f>
        <v>216</v>
      </c>
      <c r="BF112" s="11">
        <f>SUM(BF109:BF111)</f>
        <v>7</v>
      </c>
      <c r="BG112" s="11">
        <f>SUM(BG109:BG111)</f>
        <v>7</v>
      </c>
    </row>
    <row r="113" spans="1:32" s="2" customFormat="1" ht="11.25" customHeight="1" thickBot="1">
      <c r="A113" s="11"/>
      <c r="J113" s="11"/>
      <c r="K113" s="11"/>
      <c r="L113" s="11"/>
      <c r="N113" s="29" t="s">
        <v>56</v>
      </c>
      <c r="O113" s="30">
        <f>IF(O105&gt;0,(O105&amp;3)*1,"")</f>
        <v>33</v>
      </c>
      <c r="P113" s="7"/>
      <c r="Q113" s="10"/>
      <c r="R113" s="10"/>
      <c r="S113" s="84"/>
      <c r="T113" s="232"/>
      <c r="U113" s="228" t="str">
        <f>IF(AND(N113&lt;&gt;"",N114=""),CONCATENATE(VLOOKUP(N113,'[1]zawodnicy'!$A:$E,1,FALSE)," ",VLOOKUP(N113,'[1]zawodnicy'!$A:$E,2,FALSE)," ",VLOOKUP(N113,'[1]zawodnicy'!$A:$E,3,FALSE)," - ",VLOOKUP(N113,'[1]zawodnicy'!$A:$E,4,FALSE)),"")</f>
        <v>G0015 Piotr GŁOWACKI - Tarnowiec</v>
      </c>
      <c r="V113" s="228"/>
      <c r="W113" s="56" t="str">
        <f>IF(SUM(AP109:AQ109)=0,"",AQ109&amp;":"&amp;AP109)</f>
        <v>7:21</v>
      </c>
      <c r="X113" s="27" t="str">
        <f>IF(SUM(AP110:AQ110)=0,"",AQ110&amp;":"&amp;AP110)</f>
        <v>7:21</v>
      </c>
      <c r="Y113" s="108"/>
      <c r="Z113" s="232"/>
      <c r="AA113" s="234"/>
      <c r="AB113" s="234"/>
      <c r="AC113" s="227"/>
      <c r="AE113" s="24"/>
      <c r="AF113" s="24"/>
    </row>
    <row r="114" spans="10:32" s="2" customFormat="1" ht="11.25" customHeight="1" thickBot="1">
      <c r="J114" s="31"/>
      <c r="K114" s="31"/>
      <c r="L114" s="31"/>
      <c r="N114" s="32"/>
      <c r="O114" s="31"/>
      <c r="P114" s="31"/>
      <c r="T114" s="232"/>
      <c r="U114" s="229">
        <f>IF(N114&lt;&gt;"",CONCATENATE(VLOOKUP(N114,'[1]zawodnicy'!$A:$E,1,FALSE)," ",VLOOKUP(N114,'[1]zawodnicy'!$A:$E,2,FALSE)," ",VLOOKUP(N114,'[1]zawodnicy'!$A:$E,3,FALSE)," - ",VLOOKUP(N114,'[1]zawodnicy'!$A:$E,4,FALSE)),"")</f>
      </c>
      <c r="V114" s="229"/>
      <c r="W114" s="86">
        <f>IF(SUM(AR109:AS109)=0,"",AS109&amp;":"&amp;AR109)</f>
      </c>
      <c r="X114" s="87">
        <f>IF(SUM(AR110:AS110)=0,"",AS110&amp;":"&amp;AR110)</f>
      </c>
      <c r="Y114" s="88"/>
      <c r="Z114" s="232"/>
      <c r="AA114" s="234"/>
      <c r="AB114" s="234"/>
      <c r="AC114" s="227"/>
      <c r="AE114" s="24"/>
      <c r="AF114" s="24"/>
    </row>
    <row r="115" ht="11.25" customHeight="1"/>
    <row r="116" ht="11.25" customHeight="1">
      <c r="U116" s="49" t="s">
        <v>57</v>
      </c>
    </row>
    <row r="117" spans="10:32" ht="11.25" customHeight="1">
      <c r="J117" s="2"/>
      <c r="N117" s="109" t="s">
        <v>47</v>
      </c>
      <c r="P117" s="110"/>
      <c r="Q117" s="1"/>
      <c r="R117" s="1"/>
      <c r="S117" s="1"/>
      <c r="T117" s="111"/>
      <c r="U117" s="112"/>
      <c r="V117" s="112"/>
      <c r="W117" s="11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1.25" customHeight="1">
      <c r="A118" s="113">
        <f>V118</f>
        <v>0</v>
      </c>
      <c r="B118" s="2" t="str">
        <f>IF(TYPE(S118)=16,"",S118)</f>
        <v>S0020</v>
      </c>
      <c r="F118" s="2" t="str">
        <f>IF(A118=0,IF(AND(LEN(B118)&gt;0,LEN(D118)=0),VLOOKUP(B118,'[1]zawodnicy'!$A:$E,1,FALSE),IF(AND(LEN(D118)&gt;0,LEN(B118)=0),VLOOKUP(D118,'[1]zawodnicy'!$A:$E,1,FALSE),"")),IF((VLOOKUP(A118,'[1]plan_gier'!$X:$AF,7,FALSE))="","",VLOOKUP(VLOOKUP(A118,'[1]plan_gier'!$X:$AF,7,FALSE),'[1]zawodnicy'!$A:$E,1,FALSE)))</f>
        <v>S0020</v>
      </c>
      <c r="H118" s="2">
        <f>IF(A118=0,"",IF((VLOOKUP(A118,'[1]plan_gier'!$X:$AF,7,FALSE))="","",VLOOKUP(A118,'[1]plan_gier'!$X:$AF,9,FALSE)))</f>
      </c>
      <c r="J118" s="114"/>
      <c r="L118" s="36">
        <f>IF(A118=0,"",IF(VLOOKUP(A118,'[1]plan_gier'!A:S,19,FALSE)="","",VLOOKUP(A118,'[1]plan_gier'!A:S,19,FALSE)))</f>
      </c>
      <c r="M118" s="2" t="str">
        <f>N117</f>
        <v>Runners Up</v>
      </c>
      <c r="N118" s="115"/>
      <c r="O118" s="116"/>
      <c r="P118" s="115"/>
      <c r="Q118" s="260" t="s">
        <v>35</v>
      </c>
      <c r="R118" s="260"/>
      <c r="S118" s="259" t="str">
        <f>UPPER(IF((N117=""),"",IF(TYPE(VLOOKUP(1&amp;1&amp;N117,I:J,2,FALSE))=2,VLOOKUP(1&amp;1&amp;N117,I:J,2,FALSE),"")))</f>
        <v>S0020</v>
      </c>
      <c r="T118" s="259"/>
      <c r="U118" s="261" t="str">
        <f>IF(S118&lt;&gt;"",CONCATENATE(VLOOKUP(S118,'[1]zawodnicy'!$A:$E,2,FALSE)," ",VLOOKUP(S118,'[1]zawodnicy'!$A:$E,3,FALSE)," - ",VLOOKUP(S118,'[1]zawodnicy'!$A:$E,4,FALSE)),"")</f>
        <v>Mariusz SŁOMBA - Mielec</v>
      </c>
      <c r="V118" s="261"/>
      <c r="W118" s="219" t="str">
        <f>IF(ISBLANK(V118),IF(AND(LEN(S118)&gt;0,LEN(S119)=0),VLOOKUP(S118,'[1]zawodnicy'!$A:$E,3,FALSE),IF(AND(LEN(S119)&gt;0,LEN(S118)=0),VLOOKUP(S119,'[1]zawodnicy'!$A:$E,3,FALSE),"")),IF((VLOOKUP(V118,'[1]plan_gier'!$X:$AF,7,FALSE))="","",VLOOKUP(VLOOKUP(V118,'[1]plan_gier'!$X:$AF,7,FALSE),'[1]zawodnicy'!$A:$E,3,FALSE)))</f>
        <v>SŁOMBA</v>
      </c>
      <c r="X118" s="219"/>
      <c r="Y118" s="219"/>
      <c r="Z118" s="2"/>
      <c r="AA118" s="2"/>
      <c r="AB118" s="2"/>
      <c r="AC118" s="2"/>
      <c r="AD118" s="2"/>
      <c r="AE118" s="2"/>
      <c r="AF118" s="2"/>
    </row>
    <row r="119" spans="10:32" ht="11.25" customHeight="1">
      <c r="J119" s="114"/>
      <c r="N119" s="115"/>
      <c r="O119" s="116"/>
      <c r="P119" s="115"/>
      <c r="Q119" s="260"/>
      <c r="R119" s="260"/>
      <c r="S119" s="259"/>
      <c r="T119" s="259"/>
      <c r="U119" s="261"/>
      <c r="V119" s="261"/>
      <c r="W119" s="263"/>
      <c r="X119" s="263"/>
      <c r="Y119" s="263"/>
      <c r="Z119" s="2"/>
      <c r="AA119" s="2"/>
      <c r="AB119" s="2"/>
      <c r="AC119" s="2"/>
      <c r="AD119" s="2"/>
      <c r="AE119" s="2"/>
      <c r="AF119" s="2"/>
    </row>
    <row r="120" spans="1:32" ht="11.25" customHeight="1">
      <c r="A120" s="120">
        <f>Y120</f>
        <v>35</v>
      </c>
      <c r="B120" s="2" t="str">
        <f>F118</f>
        <v>S0020</v>
      </c>
      <c r="D120" s="2" t="str">
        <f>F122</f>
        <v>K0022</v>
      </c>
      <c r="F120" s="2" t="str">
        <f>IF(A120=0,IF(AND(LEN(B120)&gt;0,LEN(D120)=0),B120,IF(AND(LEN(D120)&gt;0,LEN(B120)=0),D120,"")),IF((VLOOKUP(A120,'[1]plan_gier'!$X:$AF,7,FALSE))="","",VLOOKUP(VLOOKUP(A120,'[1]plan_gier'!$X:$AF,7,FALSE),'[1]zawodnicy'!$A:$E,1,FALSE)))</f>
        <v>S0020</v>
      </c>
      <c r="H120" s="2" t="str">
        <f>IF(A120=0,"",IF((VLOOKUP(A120,'[1]plan_gier'!$X:$AF,7,FALSE))="","",VLOOKUP(A120,'[1]plan_gier'!$X:$AF,9,FALSE)))</f>
        <v>23:21,21:18</v>
      </c>
      <c r="J120" s="114"/>
      <c r="L120" s="36" t="str">
        <f>IF(A120=0,"",IF(VLOOKUP(A120,'[1]plan_gier'!A:S,19,FALSE)="","",VLOOKUP(A120,'[1]plan_gier'!A:S,19,FALSE)))</f>
        <v>godz.11:40</v>
      </c>
      <c r="M120" s="2" t="str">
        <f>N117</f>
        <v>Runners Up</v>
      </c>
      <c r="N120" s="115"/>
      <c r="O120" s="116"/>
      <c r="P120" s="115"/>
      <c r="S120" s="1"/>
      <c r="T120" s="111"/>
      <c r="U120" s="2"/>
      <c r="V120" s="2"/>
      <c r="W120" s="112"/>
      <c r="X120" s="2"/>
      <c r="Y120" s="121">
        <v>35</v>
      </c>
      <c r="Z120" s="219" t="str">
        <f>IF(ISBLANK(Y120),IF(AND(LEN(W118)&gt;0,LEN(W122)=0),W118,IF(AND(LEN(W122)&gt;0,LEN(W118)=0),W122,"")),IF((VLOOKUP(Y120,'[1]plan_gier'!$X:$AF,7,FALSE))="","",VLOOKUP(VLOOKUP(Y120,'[1]plan_gier'!$X:$AF,7,FALSE),'[1]zawodnicy'!$A:$E,3,FALSE)))</f>
        <v>SŁOMBA</v>
      </c>
      <c r="AA120" s="219"/>
      <c r="AB120" s="219"/>
      <c r="AC120" s="2"/>
      <c r="AD120" s="2"/>
      <c r="AE120" s="2"/>
      <c r="AF120" s="2"/>
    </row>
    <row r="121" spans="1:28" s="2" customFormat="1" ht="11.25" customHeight="1">
      <c r="A121" s="1"/>
      <c r="J121" s="114"/>
      <c r="K121" s="7"/>
      <c r="L121" s="7"/>
      <c r="N121" s="115"/>
      <c r="O121" s="116"/>
      <c r="P121" s="115"/>
      <c r="Q121" s="49"/>
      <c r="R121" s="49"/>
      <c r="S121" s="1"/>
      <c r="T121" s="111"/>
      <c r="W121" s="112"/>
      <c r="Y121" s="122"/>
      <c r="Z121" s="226" t="str">
        <f>IF(ISBLANK(Y120),"",IF((VLOOKUP(Y120,'[1]plan_gier'!$X:$AF,7,FALSE))="",L120,VLOOKUP(Y120,'[1]plan_gier'!$X:$AF,9,FALSE)))</f>
        <v>23:21,21:18</v>
      </c>
      <c r="AA121" s="226"/>
      <c r="AB121" s="226"/>
    </row>
    <row r="122" spans="1:28" s="2" customFormat="1" ht="11.25" customHeight="1">
      <c r="A122" s="113">
        <f>V122</f>
        <v>33</v>
      </c>
      <c r="B122" s="2" t="str">
        <f>IF(TYPE(S122)=16,"",S122)</f>
        <v>K0022</v>
      </c>
      <c r="D122" s="2" t="str">
        <f>IF(TYPE(S123)=16,"",S123)</f>
        <v>O0004</v>
      </c>
      <c r="F122" s="2" t="str">
        <f>IF(A122=0,IF(AND(LEN(B122)&gt;0,LEN(D122)=0),VLOOKUP(B122,'[1]zawodnicy'!$A:$E,1,FALSE),IF(AND(LEN(D122)&gt;0,LEN(B122)=0),VLOOKUP(D122,'[1]zawodnicy'!$A:$E,1,FALSE),"")),IF((VLOOKUP(A122,'[1]plan_gier'!$X:$AF,7,FALSE))="","",VLOOKUP(VLOOKUP(A122,'[1]plan_gier'!$X:$AF,7,FALSE),'[1]zawodnicy'!$A:$E,1,FALSE)))</f>
        <v>K0022</v>
      </c>
      <c r="H122" s="2" t="str">
        <f>IF(A122=0,"",IF((VLOOKUP(A122,'[1]plan_gier'!$X:$AF,7,FALSE))="","",VLOOKUP(A122,'[1]plan_gier'!$X:$AF,9,FALSE)))</f>
        <v>21:16,21:12</v>
      </c>
      <c r="J122" s="114"/>
      <c r="K122" s="7"/>
      <c r="L122" s="36" t="str">
        <f>IF(A122=0,"",IF(VLOOKUP(A122,'[1]plan_gier'!A:S,19,FALSE)="","",VLOOKUP(A122,'[1]plan_gier'!A:S,19,FALSE)))</f>
        <v>godz.11:40</v>
      </c>
      <c r="M122" s="2" t="str">
        <f>N117</f>
        <v>Runners Up</v>
      </c>
      <c r="N122" s="115"/>
      <c r="O122" s="116"/>
      <c r="P122" s="115"/>
      <c r="Q122" s="49" t="s">
        <v>38</v>
      </c>
      <c r="R122" s="49"/>
      <c r="S122" s="259" t="str">
        <f>UPPER(IF(N117="","",IF(TYPE(VLOOKUP(2&amp;3&amp;N117,I:J,2,FALSE))=2,VLOOKUP(2&amp;3&amp;N117,I:J,2,FALSE),"")))</f>
        <v>K0022</v>
      </c>
      <c r="T122" s="259"/>
      <c r="U122" s="117" t="str">
        <f>IF(S122&lt;&gt;"",CONCATENATE(VLOOKUP(S122,'[1]zawodnicy'!$A:$E,2,FALSE)," ",VLOOKUP(S122,'[1]zawodnicy'!$A:$E,3,FALSE)," - ",VLOOKUP(S122,'[1]zawodnicy'!$A:$E,4,FALSE)),"")</f>
        <v>Hubert KUKOWSKI - Mielec</v>
      </c>
      <c r="V122" s="118">
        <v>33</v>
      </c>
      <c r="W122" s="221" t="str">
        <f>IF(ISBLANK(V122),IF(AND(LEN(S122)&gt;0,LEN(S123)=0),VLOOKUP(S122,'[1]zawodnicy'!$A:$E,3,FALSE),IF(AND(LEN(S123)&gt;0,LEN(S122)=0),VLOOKUP(S123,'[1]zawodnicy'!$A:$E,3,FALSE),"")),IF((VLOOKUP(V122,'[1]plan_gier'!$X:$AF,7,FALSE))="","",VLOOKUP(VLOOKUP(V122,'[1]plan_gier'!$X:$AF,7,FALSE),'[1]zawodnicy'!$A:$E,3,FALSE)))</f>
        <v>KUKOWSKI</v>
      </c>
      <c r="X122" s="221"/>
      <c r="Y122" s="221"/>
      <c r="AB122" s="123"/>
    </row>
    <row r="123" spans="1:28" s="2" customFormat="1" ht="11.25" customHeight="1">
      <c r="A123" s="1"/>
      <c r="J123" s="114"/>
      <c r="K123" s="7"/>
      <c r="L123" s="7"/>
      <c r="N123" s="115"/>
      <c r="O123" s="116"/>
      <c r="P123" s="115"/>
      <c r="Q123" s="49" t="s">
        <v>39</v>
      </c>
      <c r="R123" s="49"/>
      <c r="S123" s="259" t="str">
        <f>UPPER(IF(N117="","",IF(TYPE(VLOOKUP(2&amp;2&amp;N117,I:J,2,FALSE))=2,VLOOKUP(2&amp;2&amp;N117,I:J,2,FALSE),"")))</f>
        <v>O0004</v>
      </c>
      <c r="T123" s="259"/>
      <c r="U123" s="117" t="str">
        <f>IF(S123&lt;&gt;"",CONCATENATE(VLOOKUP(S123,'[1]zawodnicy'!$A:$E,2,FALSE)," ",VLOOKUP(S123,'[1]zawodnicy'!$A:$E,3,FALSE)," - ",VLOOKUP(S123,'[1]zawodnicy'!$A:$E,4,FALSE)),"")</f>
        <v>Krzysztof ORZECHOWICZ - Tarnowiec</v>
      </c>
      <c r="V123" s="119"/>
      <c r="W123" s="220" t="str">
        <f>IF(ISBLANK(V122),"",IF((VLOOKUP(V122,'[1]plan_gier'!$X:$AF,7,FALSE))="",L122,VLOOKUP(V122,'[1]plan_gier'!$X:$AF,9,FALSE)))</f>
        <v>21:16,21:12</v>
      </c>
      <c r="X123" s="220"/>
      <c r="Y123" s="220"/>
      <c r="AB123" s="123"/>
    </row>
    <row r="124" spans="1:31" s="2" customFormat="1" ht="11.25" customHeight="1">
      <c r="A124" s="124">
        <f>AB124</f>
        <v>38</v>
      </c>
      <c r="B124" s="2" t="str">
        <f>F120</f>
        <v>S0020</v>
      </c>
      <c r="D124" s="2" t="str">
        <f>F128</f>
        <v>K0012</v>
      </c>
      <c r="F124" s="2" t="str">
        <f>IF(A124=0,IF(AND(LEN(B124)&gt;0,LEN(D124)=0),B124,IF(AND(LEN(D124)&gt;0,LEN(B124)=0),D124,"")),IF((VLOOKUP(A124,'[1]plan_gier'!$X:$AF,7,FALSE))="","",VLOOKUP(VLOOKUP(A124,'[1]plan_gier'!$X:$AF,7,FALSE),'[1]zawodnicy'!$A:$E,1,FALSE)))</f>
        <v>K0012</v>
      </c>
      <c r="H124" s="2" t="str">
        <f>IF(A124=0,"",IF((VLOOKUP(A124,'[1]plan_gier'!$X:$AF,7,FALSE))="","",VLOOKUP(A124,'[1]plan_gier'!$X:$AF,9,FALSE)))</f>
        <v>21:15,21:19</v>
      </c>
      <c r="J124" s="114"/>
      <c r="K124" s="7"/>
      <c r="L124" s="36" t="str">
        <f>IF(A124=0,"",IF(VLOOKUP(A124,'[1]plan_gier'!A:S,19,FALSE)="","",VLOOKUP(A124,'[1]plan_gier'!A:S,19,FALSE)))</f>
        <v>godz.12:00</v>
      </c>
      <c r="M124" s="2" t="str">
        <f>N117</f>
        <v>Runners Up</v>
      </c>
      <c r="N124" s="115"/>
      <c r="O124" s="116"/>
      <c r="P124" s="115"/>
      <c r="Q124" s="49"/>
      <c r="R124" s="49"/>
      <c r="S124" s="1"/>
      <c r="T124" s="111"/>
      <c r="U124" s="112"/>
      <c r="AB124" s="121">
        <v>38</v>
      </c>
      <c r="AC124" s="219" t="str">
        <f>IF(ISBLANK(AB124),IF(AND(LEN(Z120)&gt;0,LEN(Z128)=0),Z120,IF(AND(LEN(Z128)&gt;0,LEN(Z120)=0),Z128,"")),IF((VLOOKUP(AB124,'[1]plan_gier'!$X:$AF,7,FALSE))="","",VLOOKUP(VLOOKUP(AB124,'[1]plan_gier'!$X:$AF,7,FALSE),'[1]zawodnicy'!$A:$E,3,FALSE)))</f>
        <v>KOTERBA</v>
      </c>
      <c r="AD124" s="219"/>
      <c r="AE124" s="219"/>
    </row>
    <row r="125" spans="1:31" s="2" customFormat="1" ht="11.25" customHeight="1">
      <c r="A125" s="1"/>
      <c r="J125" s="114"/>
      <c r="K125" s="7"/>
      <c r="L125" s="7"/>
      <c r="N125" s="115"/>
      <c r="O125" s="116"/>
      <c r="P125" s="115"/>
      <c r="Q125" s="49"/>
      <c r="R125" s="49"/>
      <c r="S125" s="1"/>
      <c r="T125" s="111"/>
      <c r="U125" s="112"/>
      <c r="AB125" s="122"/>
      <c r="AC125" s="220" t="str">
        <f>IF(ISBLANK(AB124),"",IF((VLOOKUP(AB124,'[1]plan_gier'!$X:$AF,7,FALSE))="",L124,VLOOKUP(AB124,'[1]plan_gier'!$X:$AF,9,FALSE)))</f>
        <v>21:15,21:19</v>
      </c>
      <c r="AD125" s="220"/>
      <c r="AE125" s="220"/>
    </row>
    <row r="126" spans="1:28" s="2" customFormat="1" ht="11.25" customHeight="1">
      <c r="A126" s="113">
        <f>V126</f>
        <v>34</v>
      </c>
      <c r="B126" s="2" t="str">
        <f>IF(TYPE(S126)=16,"",S126)</f>
        <v>G0011</v>
      </c>
      <c r="D126" s="2" t="str">
        <f>IF(TYPE(S127)=16,"",S127)</f>
        <v>W0014</v>
      </c>
      <c r="F126" s="2" t="str">
        <f>IF(A126=0,IF(AND(LEN(B126)&gt;0,LEN(D126)=0),VLOOKUP(B126,'[1]zawodnicy'!$A:$E,1,FALSE),IF(AND(LEN(D126)&gt;0,LEN(B126)=0),VLOOKUP(D126,'[1]zawodnicy'!$A:$E,1,FALSE),"")),IF((VLOOKUP(A126,'[1]plan_gier'!$X:$AF,7,FALSE))="","",VLOOKUP(VLOOKUP(A126,'[1]plan_gier'!$X:$AF,7,FALSE),'[1]zawodnicy'!$A:$E,1,FALSE)))</f>
        <v>G0011</v>
      </c>
      <c r="H126" s="2" t="str">
        <f>IF(A126=0,"",IF((VLOOKUP(A126,'[1]plan_gier'!$X:$AF,7,FALSE))="","",VLOOKUP(A126,'[1]plan_gier'!$X:$AF,9,FALSE)))</f>
        <v>21:17,21:12</v>
      </c>
      <c r="J126" s="114"/>
      <c r="K126" s="7"/>
      <c r="L126" s="36" t="str">
        <f>IF(A126=0,"",IF(VLOOKUP(A126,'[1]plan_gier'!A:S,19,FALSE)="","",VLOOKUP(A126,'[1]plan_gier'!A:S,19,FALSE)))</f>
        <v>godz.11:40</v>
      </c>
      <c r="M126" s="2" t="str">
        <f>N117</f>
        <v>Runners Up</v>
      </c>
      <c r="N126" s="115"/>
      <c r="O126" s="116"/>
      <c r="P126" s="115"/>
      <c r="Q126" s="49" t="s">
        <v>41</v>
      </c>
      <c r="R126" s="49"/>
      <c r="S126" s="259" t="str">
        <f>UPPER(IF(N117="","",IF(TYPE(VLOOKUP(2&amp;1&amp;N117,I:J,2,FALSE))=2,VLOOKUP(2&amp;1&amp;N117,I:J,2,FALSE),"")))</f>
        <v>G0011</v>
      </c>
      <c r="T126" s="259"/>
      <c r="U126" s="117" t="str">
        <f>IF(S126&lt;&gt;"",CONCATENATE(VLOOKUP(S126,'[1]zawodnicy'!$A:$E,2,FALSE)," ",VLOOKUP(S126,'[1]zawodnicy'!$A:$E,3,FALSE)," - ",VLOOKUP(S126,'[1]zawodnicy'!$A:$E,4,FALSE)),"")</f>
        <v>Jakub GERCZAK - Sanok</v>
      </c>
      <c r="V126" s="118">
        <v>34</v>
      </c>
      <c r="W126" s="219" t="str">
        <f>IF(ISBLANK(V126),IF(AND(LEN(S126)&gt;0,LEN(S127)=0),VLOOKUP(S126,'[1]zawodnicy'!$A:$E,3,FALSE),IF(AND(LEN(S127)&gt;0,LEN(S126)=0),VLOOKUP(S127,'[1]zawodnicy'!$A:$E,3,FALSE),"")),IF((VLOOKUP(V126,'[1]plan_gier'!$X:$AF,7,FALSE))="","",VLOOKUP(VLOOKUP(V126,'[1]plan_gier'!$X:$AF,7,FALSE),'[1]zawodnicy'!$A:$E,3,FALSE)))</f>
        <v>GERCZAK</v>
      </c>
      <c r="X126" s="219"/>
      <c r="Y126" s="219"/>
      <c r="AB126" s="123"/>
    </row>
    <row r="127" spans="1:28" s="2" customFormat="1" ht="11.25" customHeight="1">
      <c r="A127" s="1"/>
      <c r="J127" s="114"/>
      <c r="K127" s="7"/>
      <c r="L127" s="7"/>
      <c r="N127" s="115"/>
      <c r="O127" s="116"/>
      <c r="P127" s="115"/>
      <c r="Q127" s="49" t="s">
        <v>37</v>
      </c>
      <c r="R127" s="49"/>
      <c r="S127" s="259" t="str">
        <f>UPPER(IF(N117="","",IF(TYPE(VLOOKUP(1&amp;2&amp;N117,I:J,2,FALSE))=2,VLOOKUP(1&amp;2&amp;N117,I:J,2,FALSE),"")))</f>
        <v>W0014</v>
      </c>
      <c r="T127" s="259"/>
      <c r="U127" s="117" t="str">
        <f>IF(S127&lt;&gt;"",CONCATENATE(VLOOKUP(S127,'[1]zawodnicy'!$A:$E,2,FALSE)," ",VLOOKUP(S127,'[1]zawodnicy'!$A:$E,3,FALSE)," - ",VLOOKUP(S127,'[1]zawodnicy'!$A:$E,4,FALSE)),"")</f>
        <v>Mariusz  WARNECKI - Rzeszów</v>
      </c>
      <c r="V127" s="119"/>
      <c r="W127" s="226" t="str">
        <f>IF(ISBLANK(V126),"",IF((VLOOKUP(V126,'[1]plan_gier'!$X:$AF,7,FALSE))="",L126,VLOOKUP(V126,'[1]plan_gier'!$X:$AF,9,FALSE)))</f>
        <v>21:17,21:12</v>
      </c>
      <c r="X127" s="226"/>
      <c r="Y127" s="226"/>
      <c r="AB127" s="123"/>
    </row>
    <row r="128" spans="1:28" s="2" customFormat="1" ht="11.25" customHeight="1">
      <c r="A128" s="120">
        <f>Y128</f>
        <v>36</v>
      </c>
      <c r="B128" s="2" t="str">
        <f>F126</f>
        <v>G0011</v>
      </c>
      <c r="D128" s="2" t="str">
        <f>F130</f>
        <v>K0012</v>
      </c>
      <c r="F128" s="2" t="str">
        <f>IF(A128=0,IF(AND(LEN(B128)&gt;0,LEN(D128)=0),B128,IF(AND(LEN(D128)&gt;0,LEN(B128)=0),D128,"")),IF((VLOOKUP(A128,'[1]plan_gier'!$X:$AF,7,FALSE))="","",VLOOKUP(VLOOKUP(A128,'[1]plan_gier'!$X:$AF,7,FALSE),'[1]zawodnicy'!$A:$E,1,FALSE)))</f>
        <v>K0012</v>
      </c>
      <c r="H128" s="2" t="str">
        <f>IF(A128=0,"",IF((VLOOKUP(A128,'[1]plan_gier'!$X:$AF,7,FALSE))="","",VLOOKUP(A128,'[1]plan_gier'!$X:$AF,9,FALSE)))</f>
        <v>21:19,21:19</v>
      </c>
      <c r="J128" s="114"/>
      <c r="K128" s="7"/>
      <c r="L128" s="36" t="str">
        <f>IF(A128=0,"",IF(VLOOKUP(A128,'[1]plan_gier'!A:S,19,FALSE)="","",VLOOKUP(A128,'[1]plan_gier'!A:S,19,FALSE)))</f>
        <v>godz.11:40</v>
      </c>
      <c r="M128" s="2" t="str">
        <f>N117</f>
        <v>Runners Up</v>
      </c>
      <c r="N128" s="115"/>
      <c r="O128" s="116"/>
      <c r="P128" s="115"/>
      <c r="Q128" s="49"/>
      <c r="R128" s="49"/>
      <c r="S128" s="1"/>
      <c r="T128" s="111"/>
      <c r="W128" s="112"/>
      <c r="Y128" s="121">
        <v>36</v>
      </c>
      <c r="Z128" s="221" t="str">
        <f>IF(ISBLANK(Y128),IF(AND(LEN(W126)&gt;0,LEN(W130)=0),W126,IF(AND(LEN(W130)&gt;0,LEN(W126)=0),W130,"")),IF((VLOOKUP(Y128,'[1]plan_gier'!$X:$AF,7,FALSE))="","",VLOOKUP(VLOOKUP(Y128,'[1]plan_gier'!$X:$AF,7,FALSE),'[1]zawodnicy'!$A:$E,3,FALSE)))</f>
        <v>KOTERBA</v>
      </c>
      <c r="AA128" s="221"/>
      <c r="AB128" s="221"/>
    </row>
    <row r="129" spans="10:63" ht="11.25" customHeight="1">
      <c r="J129" s="114"/>
      <c r="N129" s="115"/>
      <c r="O129" s="116"/>
      <c r="P129" s="115"/>
      <c r="S129" s="1"/>
      <c r="T129" s="111"/>
      <c r="U129" s="2"/>
      <c r="V129" s="2"/>
      <c r="W129" s="112"/>
      <c r="X129" s="2"/>
      <c r="Y129" s="122"/>
      <c r="Z129" s="220" t="str">
        <f>IF(ISBLANK(Y128),"",IF((VLOOKUP(Y128,'[1]plan_gier'!$X:$AF,7,FALSE))="",L128,VLOOKUP(Y128,'[1]plan_gier'!$X:$AF,9,FALSE)))</f>
        <v>21:19,21:19</v>
      </c>
      <c r="AA129" s="220"/>
      <c r="AB129" s="220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1:63" ht="11.25" customHeight="1">
      <c r="A130" s="113">
        <f>V130</f>
        <v>0</v>
      </c>
      <c r="B130" s="2" t="str">
        <f>IF(TYPE(S130)=16,"",S130)</f>
        <v>K0012</v>
      </c>
      <c r="F130" s="2" t="str">
        <f>IF(A130=0,IF(AND(LEN(B130)&gt;0,LEN(D130)=0),VLOOKUP(B130,'[1]zawodnicy'!$A:$E,1,FALSE),IF(AND(LEN(D130)&gt;0,LEN(B130)=0),VLOOKUP(D130,'[1]zawodnicy'!$A:$E,1,FALSE),"")),IF((VLOOKUP(A130,'[1]plan_gier'!$X:$AF,7,FALSE))="","",VLOOKUP(VLOOKUP(A130,'[1]plan_gier'!$X:$AF,7,FALSE),'[1]zawodnicy'!$A:$E,1,FALSE)))</f>
        <v>K0012</v>
      </c>
      <c r="H130" s="2">
        <f>IF(A130=0,"",IF((VLOOKUP(A130,'[1]plan_gier'!$X:$AF,7,FALSE))="","",VLOOKUP(A130,'[1]plan_gier'!$X:$AF,9,FALSE)))</f>
      </c>
      <c r="J130" s="114"/>
      <c r="L130" s="36">
        <f>IF(A130=0,"",IF(VLOOKUP(A130,'[1]plan_gier'!A:S,19,FALSE)="","",VLOOKUP(A130,'[1]plan_gier'!A:S,19,FALSE)))</f>
      </c>
      <c r="M130" s="2" t="str">
        <f>N117</f>
        <v>Runners Up</v>
      </c>
      <c r="N130" s="115"/>
      <c r="O130" s="116"/>
      <c r="P130" s="115"/>
      <c r="Q130" s="260" t="s">
        <v>40</v>
      </c>
      <c r="R130" s="260"/>
      <c r="S130" s="259" t="str">
        <f>UPPER(IF(N117="","",IF(TYPE(VLOOKUP(1&amp;3&amp;N117,I:J,2,FALSE))=2,VLOOKUP(1&amp;3&amp;N117,I:J,2,FALSE),"")))</f>
        <v>K0012</v>
      </c>
      <c r="T130" s="259"/>
      <c r="U130" s="261" t="str">
        <f>IF(S130&lt;&gt;"",CONCATENATE(VLOOKUP(S130,'[1]zawodnicy'!$A:$E,2,FALSE)," ",VLOOKUP(S130,'[1]zawodnicy'!$A:$E,3,FALSE)," - ",VLOOKUP(S130,'[1]zawodnicy'!$A:$E,4,FALSE)),"")</f>
        <v>Piotr KOTERBA - Rzeszów</v>
      </c>
      <c r="V130" s="261"/>
      <c r="W130" s="221" t="str">
        <f>IF(ISBLANK(V130),IF(AND(LEN(S130)&gt;0,LEN(S131)=0),VLOOKUP(S130,'[1]zawodnicy'!$A:$E,3,FALSE),IF(AND(LEN(S131)&gt;0,LEN(S130)=0),VLOOKUP(S131,'[1]zawodnicy'!$A:$E,3,FALSE),"")),IF((VLOOKUP(V130,'[1]plan_gier'!$X:$AF,7,FALSE))="","",VLOOKUP(VLOOKUP(V130,'[1]plan_gier'!$X:$AF,7,FALSE),'[1]zawodnicy'!$A:$E,3,FALSE)))</f>
        <v>KOTERBA</v>
      </c>
      <c r="X130" s="221"/>
      <c r="Y130" s="221"/>
      <c r="Z130" s="2"/>
      <c r="AA130" s="2"/>
      <c r="AB130" s="2"/>
      <c r="AC130" s="112"/>
      <c r="AD130" s="112"/>
      <c r="AE130" s="11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10:63" ht="11.25" customHeight="1">
      <c r="J131" s="114"/>
      <c r="N131" s="115"/>
      <c r="O131" s="116"/>
      <c r="P131" s="115"/>
      <c r="Q131" s="260"/>
      <c r="R131" s="260"/>
      <c r="S131" s="259"/>
      <c r="T131" s="259"/>
      <c r="U131" s="261"/>
      <c r="V131" s="261"/>
      <c r="W131" s="262"/>
      <c r="X131" s="262"/>
      <c r="Y131" s="26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ht="11.25" customHeight="1"/>
    <row r="133" ht="12" customHeight="1">
      <c r="U133" s="10" t="s">
        <v>43</v>
      </c>
    </row>
    <row r="134" spans="10:63" ht="11.25" customHeight="1">
      <c r="J134" s="2"/>
      <c r="K134" s="2"/>
      <c r="L134" s="2"/>
      <c r="M134" s="125"/>
      <c r="N134" s="126" t="str">
        <f>M136</f>
        <v>Runners Up</v>
      </c>
      <c r="O134" s="110"/>
      <c r="P134" s="110"/>
      <c r="Q134" s="1"/>
      <c r="R134" s="1"/>
      <c r="S134" s="222" t="s">
        <v>44</v>
      </c>
      <c r="T134" s="222"/>
      <c r="U134" s="222"/>
      <c r="V134" s="222"/>
      <c r="W134" s="222" t="s">
        <v>45</v>
      </c>
      <c r="X134" s="222"/>
      <c r="Y134" s="222"/>
      <c r="Z134" s="230"/>
      <c r="AA134" s="230"/>
      <c r="AB134" s="230"/>
      <c r="AC134" s="112"/>
      <c r="AD134" s="112"/>
      <c r="AE134" s="11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10:63" ht="11.25" customHeight="1">
      <c r="J135" s="2"/>
      <c r="K135" s="2"/>
      <c r="L135" s="2"/>
      <c r="N135" s="126" t="s">
        <v>46</v>
      </c>
      <c r="P135" s="110"/>
      <c r="Q135" s="1"/>
      <c r="R135" s="1"/>
      <c r="S135" s="1"/>
      <c r="T135" s="111"/>
      <c r="U135" s="112"/>
      <c r="V135" s="112"/>
      <c r="W135" s="11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:63" ht="11.25" customHeight="1">
      <c r="A136" s="113">
        <f>V136</f>
        <v>37</v>
      </c>
      <c r="B136" s="2" t="str">
        <f>IF(S136="","",S136)</f>
        <v>K0022</v>
      </c>
      <c r="D136" s="2" t="str">
        <f>IF(S137="","",S137)</f>
        <v>G0011</v>
      </c>
      <c r="F136" s="2" t="str">
        <f>IF(A136=0,IF(AND(LEN(B136)&gt;0,LEN(D136)=0),VLOOKUP(B136,'[1]zawodnicy'!$A:$E,1,FALSE),IF(AND(LEN(D136)&gt;0,LEN(B136)=0),VLOOKUP(D136,'[1]zawodnicy'!$A:$E,1,FALSE),"")),IF((VLOOKUP(A136,'[1]plan_gier'!$X:$AF,7,FALSE))="","",VLOOKUP(VLOOKUP(A136,'[1]plan_gier'!$X:$AF,7,FALSE),'[1]zawodnicy'!$A:$E,1,FALSE)))</f>
        <v>K0022</v>
      </c>
      <c r="H136" s="2" t="str">
        <f>IF(A136=0,"",IF((VLOOKUP(A136,'[1]plan_gier'!$X:$AF,7,FALSE))="","",VLOOKUP(A136,'[1]plan_gier'!$X:$AF,9,FALSE)))</f>
        <v>21:6,18:21,21:14</v>
      </c>
      <c r="J136" s="114"/>
      <c r="K136" s="114"/>
      <c r="L136" s="127" t="str">
        <f>IF(A136=0,"",IF(VLOOKUP(A136,'[1]plan_gier'!A:S,19,FALSE)="","",VLOOKUP(A136,'[1]plan_gier'!A:S,19,FALSE)))</f>
        <v>godz.12:00</v>
      </c>
      <c r="M136" s="2" t="str">
        <f>IF(N136="","",VLOOKUP(N136,A:M,13,FALSE))</f>
        <v>Runners Up</v>
      </c>
      <c r="N136" s="128">
        <v>35</v>
      </c>
      <c r="O136" s="129"/>
      <c r="P136" s="115"/>
      <c r="S136" s="259" t="str">
        <f>IF(N136="","",IF(LEN(VLOOKUP(N136,A:M,6,FALSE))=0,"",IF(VLOOKUP(N136,A:M,6,FALSE)=VLOOKUP(N136,A:M,2,FALSE),VLOOKUP(N136,A:M,4,FALSE),VLOOKUP(N136,A:M,2,FALSE))))</f>
        <v>K0022</v>
      </c>
      <c r="T136" s="259"/>
      <c r="U136" s="117" t="str">
        <f>IF(S136&lt;&gt;"",CONCATENATE(VLOOKUP(S136,'[1]zawodnicy'!$A:$E,2,FALSE)," ",VLOOKUP(S136,'[1]zawodnicy'!$A:$E,3,FALSE)," - ",VLOOKUP(S136,'[1]zawodnicy'!$A:$E,4,FALSE)),"")</f>
        <v>Hubert KUKOWSKI - Mielec</v>
      </c>
      <c r="V136" s="118">
        <v>37</v>
      </c>
      <c r="W136" s="219" t="str">
        <f>IF(F136="","",VLOOKUP(F136,'[1]zawodnicy'!$A:$D,3,FALSE))</f>
        <v>KUKOWSKI</v>
      </c>
      <c r="X136" s="219"/>
      <c r="Y136" s="219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10:63" ht="11.25" customHeight="1">
      <c r="J137" s="114"/>
      <c r="K137" s="114"/>
      <c r="L137" s="114"/>
      <c r="N137" s="128">
        <v>36</v>
      </c>
      <c r="O137" s="129"/>
      <c r="P137" s="115"/>
      <c r="S137" s="259" t="str">
        <f>IF(N137="","",IF(LEN(VLOOKUP(N137,A:M,6,FALSE))=0,"",IF(VLOOKUP(N137,A:M,6,FALSE)=VLOOKUP(N137,A:M,2,FALSE),VLOOKUP(N137,A:M,4,FALSE),VLOOKUP(N137,A:M,2,FALSE))))</f>
        <v>G0011</v>
      </c>
      <c r="T137" s="259"/>
      <c r="U137" s="117" t="str">
        <f>IF(S137&lt;&gt;"",CONCATENATE(VLOOKUP(S137,'[1]zawodnicy'!$A:$E,2,FALSE)," ",VLOOKUP(S137,'[1]zawodnicy'!$A:$E,3,FALSE)," - ",VLOOKUP(S137,'[1]zawodnicy'!$A:$E,4,FALSE)),"")</f>
        <v>Jakub GERCZAK - Sanok</v>
      </c>
      <c r="V137" s="119"/>
      <c r="W137" s="220" t="str">
        <f>IF(H136="",L136,H136)</f>
        <v>21:6,18:21,21:14</v>
      </c>
      <c r="X137" s="220"/>
      <c r="Y137" s="220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ht="11.25" customHeight="1"/>
    <row r="139" spans="13:31" ht="11.25" customHeight="1">
      <c r="M139" s="8"/>
      <c r="N139" s="9" t="s">
        <v>58</v>
      </c>
      <c r="Q139" s="245" t="str">
        <f>"Gra "&amp;N139</f>
        <v>Gra Kobiet</v>
      </c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</row>
    <row r="140" ht="11.25" customHeight="1" thickBot="1"/>
    <row r="141" spans="14:31" s="11" customFormat="1" ht="11.25" customHeight="1" thickBot="1">
      <c r="N141" s="115"/>
      <c r="O141" s="7"/>
      <c r="P141" s="7"/>
      <c r="Q141" s="247" t="s">
        <v>9</v>
      </c>
      <c r="R141" s="247"/>
      <c r="S141" s="248" t="s">
        <v>10</v>
      </c>
      <c r="T141" s="130"/>
      <c r="U141" s="246" t="s">
        <v>2</v>
      </c>
      <c r="V141" s="246"/>
      <c r="W141" s="131">
        <v>1</v>
      </c>
      <c r="X141" s="132">
        <v>2</v>
      </c>
      <c r="Y141" s="133">
        <v>3</v>
      </c>
      <c r="Z141" s="134">
        <v>4</v>
      </c>
      <c r="AA141" s="135">
        <v>5</v>
      </c>
      <c r="AB141" s="89" t="s">
        <v>3</v>
      </c>
      <c r="AC141" s="22" t="s">
        <v>4</v>
      </c>
      <c r="AD141" s="21" t="s">
        <v>5</v>
      </c>
      <c r="AE141" s="90" t="s">
        <v>6</v>
      </c>
    </row>
    <row r="142" spans="10:32" s="11" customFormat="1" ht="11.25" customHeight="1" thickBot="1">
      <c r="J142" s="31"/>
      <c r="K142" s="31"/>
      <c r="L142" s="31"/>
      <c r="N142" s="25" t="s">
        <v>58</v>
      </c>
      <c r="O142" s="7"/>
      <c r="P142" s="31"/>
      <c r="Q142" s="247"/>
      <c r="R142" s="247"/>
      <c r="S142" s="248"/>
      <c r="T142" s="249">
        <v>1</v>
      </c>
      <c r="U142" s="250">
        <f>IF(AND(N143&lt;&gt;"",N144&lt;&gt;""),CONCATENATE(VLOOKUP(N143,'[1]zawodnicy'!$A:$E,1,FALSE)," ",VLOOKUP(N143,'[1]zawodnicy'!$A:$E,2,FALSE)," ",VLOOKUP(N143,'[1]zawodnicy'!$A:$E,3,FALSE)," - ",VLOOKUP(N143,'[1]zawodnicy'!$A:$E,4,FALSE)),"")</f>
      </c>
      <c r="V142" s="250"/>
      <c r="W142" s="258"/>
      <c r="X142" s="92" t="str">
        <f>IF(SUM(AO154:AP154)=0,"",AO154&amp;":"&amp;AP154)</f>
        <v>22:20</v>
      </c>
      <c r="Y142" s="136" t="str">
        <f>IF(SUM(AO147:AP147)=0,"",AO147&amp;":"&amp;AP147)</f>
        <v>21:0</v>
      </c>
      <c r="Z142" s="136" t="str">
        <f>IF(SUM(AO151:AP151)=0,"",AP151&amp;":"&amp;AO151)</f>
        <v>21:6</v>
      </c>
      <c r="AA142" s="137" t="str">
        <f>IF(SUM(AO150:AP150)=0,"",AP150&amp;":"&amp;AO150)</f>
        <v>21:7</v>
      </c>
      <c r="AB142" s="249" t="str">
        <f>IF(SUM(AX145:BE145)=0,"",BF145&amp;":"&amp;BG145)</f>
        <v>181:85</v>
      </c>
      <c r="AC142" s="242" t="str">
        <f>IF(SUM(AX145:BE145)=0,"",BH145&amp;":"&amp;BI145)</f>
        <v>7:2</v>
      </c>
      <c r="AD142" s="242" t="str">
        <f>IF(SUM(AX145:BE145)=0,"",BJ145&amp;":"&amp;BK145)</f>
        <v>3:1</v>
      </c>
      <c r="AE142" s="243">
        <f>IF(SUM(BJ145:BJ149)&gt;0,BL145,"")</f>
        <v>2</v>
      </c>
      <c r="AF142" s="138"/>
    </row>
    <row r="143" spans="14:32" s="11" customFormat="1" ht="11.25" customHeight="1" thickBot="1">
      <c r="N143" s="29" t="s">
        <v>24</v>
      </c>
      <c r="O143" s="31"/>
      <c r="P143" s="31"/>
      <c r="Q143" s="247"/>
      <c r="R143" s="247"/>
      <c r="S143" s="248"/>
      <c r="T143" s="249"/>
      <c r="U143" s="228" t="str">
        <f>IF(AND(N143&lt;&gt;"",N144=""),CONCATENATE(VLOOKUP(N143,'[1]zawodnicy'!$A:$E,1,FALSE)," ",VLOOKUP(N143,'[1]zawodnicy'!$A:$E,2,FALSE)," ",VLOOKUP(N143,'[1]zawodnicy'!$A:$E,3,FALSE)," - ",VLOOKUP(N143,'[1]zawodnicy'!$A:$E,4,FALSE)),"")</f>
        <v>D0008 Patrycja DOMAŃSKA - Rzeszów</v>
      </c>
      <c r="V143" s="228"/>
      <c r="W143" s="258"/>
      <c r="X143" s="27" t="str">
        <f>IF(SUM(AQ154:AR154)=0,"",AQ154&amp;":"&amp;AR154)</f>
        <v>19:21</v>
      </c>
      <c r="Y143" s="139" t="str">
        <f>IF(SUM(AQ147:AR147)=0,"",AQ147&amp;":"&amp;AR147)</f>
        <v>21:0</v>
      </c>
      <c r="Z143" s="139" t="str">
        <f>IF(SUM(AQ151:AR151)=0,"",AR151&amp;":"&amp;AQ151)</f>
        <v>21:5</v>
      </c>
      <c r="AA143" s="28" t="str">
        <f>IF(SUM(AQ150:AR150)=0,"",AR150&amp;":"&amp;AQ150)</f>
        <v>21:5</v>
      </c>
      <c r="AB143" s="249"/>
      <c r="AC143" s="242"/>
      <c r="AD143" s="242"/>
      <c r="AE143" s="243"/>
      <c r="AF143" s="138"/>
    </row>
    <row r="144" spans="10:64" s="11" customFormat="1" ht="11.25" customHeight="1" thickBot="1">
      <c r="J144" s="31"/>
      <c r="K144" s="31"/>
      <c r="L144" s="31"/>
      <c r="N144" s="32"/>
      <c r="O144" s="31"/>
      <c r="P144" s="31"/>
      <c r="T144" s="249"/>
      <c r="U144" s="231">
        <f>IF(N144&lt;&gt;"",CONCATENATE(VLOOKUP(N144,'[1]zawodnicy'!$A:$E,1,FALSE)," ",VLOOKUP(N144,'[1]zawodnicy'!$A:$E,2,FALSE)," ",VLOOKUP(N144,'[1]zawodnicy'!$A:$E,3,FALSE)," - ",VLOOKUP(N144,'[1]zawodnicy'!$A:$E,4,FALSE)),"")</f>
      </c>
      <c r="V144" s="231"/>
      <c r="W144" s="258"/>
      <c r="X144" s="33" t="str">
        <f>IF(SUM(AS154:AT154)=0,"",AS154&amp;":"&amp;AT154)</f>
        <v>14:21</v>
      </c>
      <c r="Y144" s="140">
        <f>IF(SUM(AS147:AT147)=0,"",AS147&amp;":"&amp;AT147)</f>
      </c>
      <c r="Z144" s="140">
        <f>IF(SUM(AS151:AT151)=0,"",AT151&amp;":"&amp;AS151)</f>
      </c>
      <c r="AA144" s="34">
        <f>IF(SUM(AS150:AT150)=0,"",AT150&amp;":"&amp;AS150)</f>
      </c>
      <c r="AB144" s="249"/>
      <c r="AC144" s="242"/>
      <c r="AD144" s="242"/>
      <c r="AE144" s="243"/>
      <c r="AF144" s="138"/>
      <c r="AG144" s="138"/>
      <c r="AH144" s="256" t="s">
        <v>12</v>
      </c>
      <c r="AI144" s="256"/>
      <c r="AJ144" s="254" t="s">
        <v>13</v>
      </c>
      <c r="AK144" s="254"/>
      <c r="AL144" s="257" t="s">
        <v>14</v>
      </c>
      <c r="AM144" s="257"/>
      <c r="AN144" s="138"/>
      <c r="AO144" s="256" t="s">
        <v>12</v>
      </c>
      <c r="AP144" s="256"/>
      <c r="AQ144" s="254" t="s">
        <v>13</v>
      </c>
      <c r="AR144" s="254"/>
      <c r="AS144" s="257" t="s">
        <v>14</v>
      </c>
      <c r="AT144" s="257"/>
      <c r="AU144" s="138"/>
      <c r="AV144" s="256">
        <v>1</v>
      </c>
      <c r="AW144" s="256"/>
      <c r="AX144" s="254">
        <v>2</v>
      </c>
      <c r="AY144" s="254"/>
      <c r="AZ144" s="254">
        <v>3</v>
      </c>
      <c r="BA144" s="254"/>
      <c r="BB144" s="254">
        <v>4</v>
      </c>
      <c r="BC144" s="254"/>
      <c r="BD144" s="241">
        <v>5</v>
      </c>
      <c r="BE144" s="241"/>
      <c r="BF144" s="255" t="s">
        <v>3</v>
      </c>
      <c r="BG144" s="255"/>
      <c r="BH144" s="255" t="s">
        <v>4</v>
      </c>
      <c r="BI144" s="255"/>
      <c r="BJ144" s="255" t="s">
        <v>5</v>
      </c>
      <c r="BK144" s="255"/>
      <c r="BL144" s="141" t="s">
        <v>6</v>
      </c>
    </row>
    <row r="145" spans="1:71" s="11" customFormat="1" ht="11.25" customHeight="1">
      <c r="A145" s="11">
        <f aca="true" t="shared" si="13" ref="A145:A154">S145</f>
        <v>39</v>
      </c>
      <c r="B145" s="11" t="str">
        <f>IF(N146="","",N146)</f>
        <v>O0006</v>
      </c>
      <c r="C145" s="11">
        <f>IF(N147="","",N147)</f>
      </c>
      <c r="D145" s="11" t="str">
        <f>IF(N155="","",N155)</f>
        <v>R0016</v>
      </c>
      <c r="E145" s="11">
        <f>IF(N156="","",N156)</f>
      </c>
      <c r="J145" s="31"/>
      <c r="K145" s="31"/>
      <c r="M145" s="11" t="str">
        <f>N142</f>
        <v>Kobiet</v>
      </c>
      <c r="O145" s="31"/>
      <c r="P145" s="31"/>
      <c r="Q145" s="36">
        <f>IF(AN145&gt;0,"",IF(A145=0,"",IF(VLOOKUP(A145,'[1]plan_gier'!A:S,19,FALSE)="","",VLOOKUP(A145,'[1]plan_gier'!A:S,19,FALSE))))</f>
      </c>
      <c r="R145" s="142" t="s">
        <v>59</v>
      </c>
      <c r="S145" s="84">
        <v>39</v>
      </c>
      <c r="T145" s="236">
        <v>2</v>
      </c>
      <c r="U145" s="233">
        <f>IF(AND(N146&lt;&gt;"",N147&lt;&gt;""),CONCATENATE(VLOOKUP(N146,'[1]zawodnicy'!$A:$E,1,FALSE)," ",VLOOKUP(N146,'[1]zawodnicy'!$A:$E,2,FALSE)," ",VLOOKUP(N146,'[1]zawodnicy'!$A:$E,3,FALSE)," - ",VLOOKUP(N146,'[1]zawodnicy'!$A:$E,4,FALSE)),"")</f>
      </c>
      <c r="V145" s="233"/>
      <c r="W145" s="143" t="str">
        <f>IF(SUM(AO154:AP154)=0,"",AP154&amp;":"&amp;AO154)</f>
        <v>20:22</v>
      </c>
      <c r="X145" s="253"/>
      <c r="Y145" s="144" t="str">
        <f>IF(SUM(AO152:AP152)=0,"",AO152&amp;":"&amp;AP152)</f>
        <v>21:0</v>
      </c>
      <c r="Z145" s="144" t="str">
        <f>IF(SUM(AO149:AP149)=0,"",AP149&amp;":"&amp;AO149)</f>
        <v>21:7</v>
      </c>
      <c r="AA145" s="145" t="str">
        <f>IF(SUM(AO145:AP145)=0,"",AO145&amp;":"&amp;AP145)</f>
        <v>21:7</v>
      </c>
      <c r="AB145" s="236" t="str">
        <f>IF(SUM(AV146:AW146,AZ146:BE146)=0,"",BF146&amp;":"&amp;BG146)</f>
        <v>188:79</v>
      </c>
      <c r="AC145" s="237" t="str">
        <f>IF(SUM(AV146:AW146,AZ146:BE146)=0,"",BH146&amp;":"&amp;BI146)</f>
        <v>8:1</v>
      </c>
      <c r="AD145" s="237" t="str">
        <f>IF(SUM(AV146:AW146,AZ146:BE146)=0,"",BJ146&amp;":"&amp;BK146)</f>
        <v>4:0</v>
      </c>
      <c r="AE145" s="238">
        <f>IF(SUM(BJ145:BJ149)&gt;0,BL146,"")</f>
        <v>1</v>
      </c>
      <c r="AF145" s="138"/>
      <c r="AG145" s="37" t="s">
        <v>59</v>
      </c>
      <c r="AH145" s="146">
        <f>IF(ISBLANK(S145),"",VLOOKUP(S145,'[1]plan_gier'!$X:$AN,12,FALSE))</f>
        <v>21</v>
      </c>
      <c r="AI145" s="147">
        <f>IF(ISBLANK(S145),"",VLOOKUP(S145,'[1]plan_gier'!$X:$AN,13,FALSE))</f>
        <v>7</v>
      </c>
      <c r="AJ145" s="147">
        <f>IF(ISBLANK(S145),"",VLOOKUP(S145,'[1]plan_gier'!$X:$AN,14,FALSE))</f>
        <v>21</v>
      </c>
      <c r="AK145" s="147">
        <f>IF(ISBLANK(S145),"",VLOOKUP(S145,'[1]plan_gier'!$X:$AN,15,FALSE))</f>
        <v>6</v>
      </c>
      <c r="AL145" s="147">
        <f>IF(ISBLANK(S145),"",VLOOKUP(S145,'[1]plan_gier'!$X:$AN,16,FALSE))</f>
        <v>0</v>
      </c>
      <c r="AM145" s="148">
        <f>IF(ISBLANK(S145),"",VLOOKUP(S145,'[1]plan_gier'!$X:$AN,17,FALSE))</f>
        <v>0</v>
      </c>
      <c r="AN145" s="149">
        <f aca="true" t="shared" si="14" ref="AN145:AN154">SUM(AO145:AT145)</f>
        <v>55</v>
      </c>
      <c r="AO145" s="150">
        <f aca="true" t="shared" si="15" ref="AO145:AO154">IF(AH145="",0,AH145)</f>
        <v>21</v>
      </c>
      <c r="AP145" s="147">
        <f aca="true" t="shared" si="16" ref="AP145:AP154">IF(AI145="",0,AI145)</f>
        <v>7</v>
      </c>
      <c r="AQ145" s="151">
        <f aca="true" t="shared" si="17" ref="AQ145:AQ154">IF(AJ145="",0,AJ145)</f>
        <v>21</v>
      </c>
      <c r="AR145" s="147">
        <f aca="true" t="shared" si="18" ref="AR145:AR154">IF(AK145="",0,AK145)</f>
        <v>6</v>
      </c>
      <c r="AS145" s="151">
        <f aca="true" t="shared" si="19" ref="AS145:AS154">IF(AL145="",0,AL145)</f>
        <v>0</v>
      </c>
      <c r="AT145" s="148">
        <f aca="true" t="shared" si="20" ref="AT145:AT154">IF(AM145="",0,AM145)</f>
        <v>0</v>
      </c>
      <c r="AU145" s="152">
        <v>1</v>
      </c>
      <c r="AV145" s="251"/>
      <c r="AW145" s="251"/>
      <c r="AX145" s="153">
        <f>IF(AO154&gt;AP154,1,0)+IF(AQ154&gt;AR154,1,0)+IF(AS154&gt;AT154,1,0)</f>
        <v>1</v>
      </c>
      <c r="AY145" s="153">
        <f>AV146</f>
        <v>2</v>
      </c>
      <c r="AZ145" s="153">
        <f>IF(AO147&gt;AP147,1,0)+IF(AQ147&gt;AR147,1,0)+IF(AS147&gt;AT147,1,0)</f>
        <v>2</v>
      </c>
      <c r="BA145" s="147">
        <f>AV147</f>
        <v>0</v>
      </c>
      <c r="BB145" s="154">
        <f>IF(AP151&gt;AO151,1,0)+IF(AR151&gt;AQ151,1,0)+IF(AT151&gt;AS151,1,0)</f>
        <v>2</v>
      </c>
      <c r="BC145" s="155">
        <f>AV148</f>
        <v>0</v>
      </c>
      <c r="BD145" s="147">
        <f>IF(AP150&gt;AO150,1,0)+IF(AR150&gt;AQ150,1,0)+IF(AT150&gt;AS150,1,0)</f>
        <v>2</v>
      </c>
      <c r="BE145" s="148">
        <f>AV149</f>
        <v>0</v>
      </c>
      <c r="BF145" s="146">
        <f>AO147+AQ147+AS147+AP150+AR150+AT150++AP151+AR151+AT151+AO154+AQ154+AS154</f>
        <v>181</v>
      </c>
      <c r="BG145" s="156">
        <f>AP147+AR147+AT147+AO150+AQ150+AS150+AO151+AQ151+AS151+AP154+AR154+AT154</f>
        <v>85</v>
      </c>
      <c r="BH145" s="146">
        <f>AX145+AZ145+BB145+BD145</f>
        <v>7</v>
      </c>
      <c r="BI145" s="148">
        <f>AY145+BA145+BC145+BE145</f>
        <v>2</v>
      </c>
      <c r="BJ145" s="146">
        <f>IF(AX145&gt;AY145,1,0)+IF(AZ145&gt;BA145,1,0)+IF(BB145&gt;BC145,1,0)+IF(BD145&gt;BE145,1,0)</f>
        <v>3</v>
      </c>
      <c r="BK145" s="148">
        <f>IF(AY145&gt;AX145,1,0)+IF(BA145&gt;AZ145,1,0)+IF(BC145&gt;BB145,1,0)+IF(BE145&gt;BD145,1,0)</f>
        <v>1</v>
      </c>
      <c r="BL145" s="157">
        <f>IF(BJ145+BK145=0,"",IF(BM145=MAX(BM145:BM149),1,IF(BM145=LARGE(BM145:BM149,2),2,IF(BM145=LARGE(BM145:BM149,3),3,IF(BM145=MIN(BM145:BM149),5,4)))))</f>
        <v>2</v>
      </c>
      <c r="BM145" s="158">
        <f>IF(BJ145+BK145&lt;&gt;0,BJ145-BK145+(BH145-BI145)/100+(BF145-BG145)/10000,-4)</f>
        <v>2.0595999999999997</v>
      </c>
      <c r="BQ145" s="159"/>
      <c r="BR145" s="159"/>
      <c r="BS145" s="159"/>
    </row>
    <row r="146" spans="1:71" s="11" customFormat="1" ht="11.25" customHeight="1">
      <c r="A146" s="11">
        <f t="shared" si="13"/>
        <v>40</v>
      </c>
      <c r="B146" s="11" t="str">
        <f>IF(N149="","",N149)</f>
        <v>G0016</v>
      </c>
      <c r="C146" s="11">
        <f>IF(N150="","",N150)</f>
      </c>
      <c r="D146" s="11" t="str">
        <f>IF(N152="","",N152)</f>
        <v>H0006</v>
      </c>
      <c r="E146" s="11">
        <f>IF(N153="","",N153)</f>
      </c>
      <c r="M146" s="11" t="str">
        <f>N142</f>
        <v>Kobiet</v>
      </c>
      <c r="N146" s="29" t="s">
        <v>28</v>
      </c>
      <c r="O146" s="31"/>
      <c r="P146" s="31"/>
      <c r="Q146" s="36">
        <f>IF(AN146&gt;0,"",IF(A146=0,"",IF(VLOOKUP(A146,'[1]plan_gier'!A:S,19,FALSE)="","",VLOOKUP(A146,'[1]plan_gier'!A:S,19,FALSE))))</f>
      </c>
      <c r="R146" s="142" t="s">
        <v>21</v>
      </c>
      <c r="S146" s="84">
        <v>40</v>
      </c>
      <c r="T146" s="236"/>
      <c r="U146" s="228" t="str">
        <f>IF(AND(N146&lt;&gt;"",N147=""),CONCATENATE(VLOOKUP(N146,'[1]zawodnicy'!$A:$E,1,FALSE)," ",VLOOKUP(N146,'[1]zawodnicy'!$A:$E,2,FALSE)," ",VLOOKUP(N146,'[1]zawodnicy'!$A:$E,3,FALSE)," - ",VLOOKUP(N146,'[1]zawodnicy'!$A:$E,4,FALSE)),"")</f>
        <v>O0006 Jessica ORZECHOWICZ - Tarnowiec</v>
      </c>
      <c r="V146" s="228"/>
      <c r="W146" s="160" t="str">
        <f>IF(SUM(AQ154:AR154)=0,"",AR154&amp;":"&amp;AQ154)</f>
        <v>21:19</v>
      </c>
      <c r="X146" s="253"/>
      <c r="Y146" s="139" t="str">
        <f>IF(SUM(AQ152:AR152)=0,"",AQ152&amp;":"&amp;AR152)</f>
        <v>21:0</v>
      </c>
      <c r="Z146" s="139" t="str">
        <f>IF(SUM(AQ149:AR149)=0,"",AR149&amp;":"&amp;AQ149)</f>
        <v>21:4</v>
      </c>
      <c r="AA146" s="28" t="str">
        <f>IF(SUM(AQ145:AR145)=0,"",AQ145&amp;":"&amp;AR145)</f>
        <v>21:6</v>
      </c>
      <c r="AB146" s="236"/>
      <c r="AC146" s="237"/>
      <c r="AD146" s="237"/>
      <c r="AE146" s="238"/>
      <c r="AF146" s="138"/>
      <c r="AG146" s="37" t="s">
        <v>21</v>
      </c>
      <c r="AH146" s="161">
        <f>IF(ISBLANK(S146),"",VLOOKUP(S146,'[1]plan_gier'!$X:$AN,12,FALSE))</f>
        <v>18</v>
      </c>
      <c r="AI146" s="162">
        <f>IF(ISBLANK(S146),"",VLOOKUP(S146,'[1]plan_gier'!$X:$AN,13,FALSE))</f>
        <v>21</v>
      </c>
      <c r="AJ146" s="162">
        <f>IF(ISBLANK(S146),"",VLOOKUP(S146,'[1]plan_gier'!$X:$AN,14,FALSE))</f>
        <v>10</v>
      </c>
      <c r="AK146" s="162">
        <f>IF(ISBLANK(S146),"",VLOOKUP(S146,'[1]plan_gier'!$X:$AN,15,FALSE))</f>
        <v>21</v>
      </c>
      <c r="AL146" s="162">
        <f>IF(ISBLANK(S146),"",VLOOKUP(S146,'[1]plan_gier'!$X:$AN,16,FALSE))</f>
        <v>0</v>
      </c>
      <c r="AM146" s="163">
        <f>IF(ISBLANK(S146),"",VLOOKUP(S146,'[1]plan_gier'!$X:$AN,17,FALSE))</f>
        <v>0</v>
      </c>
      <c r="AN146" s="149">
        <f t="shared" si="14"/>
        <v>70</v>
      </c>
      <c r="AO146" s="164">
        <f t="shared" si="15"/>
        <v>18</v>
      </c>
      <c r="AP146" s="162">
        <f t="shared" si="16"/>
        <v>21</v>
      </c>
      <c r="AQ146" s="165">
        <f t="shared" si="17"/>
        <v>10</v>
      </c>
      <c r="AR146" s="162">
        <f t="shared" si="18"/>
        <v>21</v>
      </c>
      <c r="AS146" s="165">
        <f t="shared" si="19"/>
        <v>0</v>
      </c>
      <c r="AT146" s="163">
        <f t="shared" si="20"/>
        <v>0</v>
      </c>
      <c r="AU146" s="152">
        <v>2</v>
      </c>
      <c r="AV146" s="161">
        <f>IF(AO154&lt;AP154,1,0)+IF(AQ154&lt;AR154,1,0)+IF(AS154&lt;AT154,1,0)</f>
        <v>2</v>
      </c>
      <c r="AW146" s="162">
        <f>AX145</f>
        <v>1</v>
      </c>
      <c r="AX146" s="166"/>
      <c r="AY146" s="167"/>
      <c r="AZ146" s="162">
        <f>IF(AO152&gt;AP152,1,0)+IF(AQ152&gt;AR152,1,0)+IF(AS152&gt;AT152,1,0)</f>
        <v>2</v>
      </c>
      <c r="BA146" s="162">
        <f>AX147</f>
        <v>0</v>
      </c>
      <c r="BB146" s="168">
        <f>IF(AP149&gt;AO149,1,0)+IF(AR149&gt;AQ149,1,0)+IF(AT149&gt;AS149,1,0)</f>
        <v>2</v>
      </c>
      <c r="BC146" s="169">
        <f>AX148</f>
        <v>0</v>
      </c>
      <c r="BD146" s="162">
        <f>IF(AO145&gt;AP145,1,0)+IF(AQ145&gt;AR145,1,0)+IF(AS145&gt;AT145,1,0)</f>
        <v>2</v>
      </c>
      <c r="BE146" s="163">
        <f>AX149</f>
        <v>0</v>
      </c>
      <c r="BF146" s="161">
        <f>AO145+AQ145+AS145+AP149+AR149+AT149++AO152+AQ152+AS152++AP154+AR154+AT154</f>
        <v>188</v>
      </c>
      <c r="BG146" s="169">
        <f>AP145+AR145+AT145+AO149+AQ149+AS149+AP152+AR152+AT152+AO154+AQ154+AS154</f>
        <v>79</v>
      </c>
      <c r="BH146" s="161">
        <f>AV146+AZ146+BB146+BD146</f>
        <v>8</v>
      </c>
      <c r="BI146" s="163">
        <f>AW146+BA146+BC146+BE146</f>
        <v>1</v>
      </c>
      <c r="BJ146" s="161">
        <f>IF(AV146&gt;AW146,1,0)+IF(AZ146&gt;BA146,1,0)+IF(BB146&gt;BC146,1,0)+IF(BD146&gt;BE146,1,0)</f>
        <v>4</v>
      </c>
      <c r="BK146" s="163">
        <f>IF(AW146&gt;AV146,1,0)+IF(BA146&gt;AZ146,1,0)+IF(BC146&gt;BB146,1,0)+IF(BE146&gt;BD146,1,0)</f>
        <v>0</v>
      </c>
      <c r="BL146" s="170">
        <f>IF(BJ146+BK146=0,"",IF(BM146=MAX(BM145:BM149),1,IF(BM146=LARGE(BM145:BM149,2),2,IF(BM146=LARGE(BM145:BM149,3),3,IF(BM146=MIN(BM145:BM149),5,4)))))</f>
        <v>1</v>
      </c>
      <c r="BM146" s="158">
        <f>IF(BJ146+BK146&lt;&gt;0,BJ146-BK146+(BH146-BI146)/100+(BF146-BG146)/10000,-4)</f>
        <v>4.080900000000001</v>
      </c>
      <c r="BQ146" s="159"/>
      <c r="BR146" s="159"/>
      <c r="BS146" s="159"/>
    </row>
    <row r="147" spans="1:71" s="11" customFormat="1" ht="11.25" customHeight="1">
      <c r="A147" s="11">
        <f t="shared" si="13"/>
        <v>41</v>
      </c>
      <c r="B147" s="11" t="str">
        <f>IF(N143="","",N143)</f>
        <v>D0008</v>
      </c>
      <c r="C147" s="11">
        <f>IF(N144="","",N144)</f>
      </c>
      <c r="D147" s="11" t="str">
        <f>IF(N149="","",N149)</f>
        <v>G0016</v>
      </c>
      <c r="E147" s="11">
        <f>IF(N150="","",N150)</f>
      </c>
      <c r="J147" s="31"/>
      <c r="K147" s="31"/>
      <c r="M147" s="11" t="str">
        <f>N142</f>
        <v>Kobiet</v>
      </c>
      <c r="N147" s="32"/>
      <c r="O147" s="31"/>
      <c r="P147" s="31"/>
      <c r="Q147" s="36">
        <f>IF(AN147&gt;0,"",IF(A147=0,"",IF(VLOOKUP(A147,'[1]plan_gier'!A:S,19,FALSE)="","",VLOOKUP(A147,'[1]plan_gier'!A:S,19,FALSE))))</f>
      </c>
      <c r="R147" s="142" t="s">
        <v>15</v>
      </c>
      <c r="S147" s="84">
        <v>41</v>
      </c>
      <c r="T147" s="236"/>
      <c r="U147" s="231">
        <f>IF(N147&lt;&gt;"",CONCATENATE(VLOOKUP(N147,'[1]zawodnicy'!$A:$E,1,FALSE)," ",VLOOKUP(N147,'[1]zawodnicy'!$A:$E,2,FALSE)," ",VLOOKUP(N147,'[1]zawodnicy'!$A:$E,3,FALSE)," - ",VLOOKUP(N147,'[1]zawodnicy'!$A:$E,4,FALSE)),"")</f>
      </c>
      <c r="V147" s="231"/>
      <c r="W147" s="171" t="str">
        <f>IF(SUM(AS154:AT154)=0,"",AT154&amp;":"&amp;AS154)</f>
        <v>21:14</v>
      </c>
      <c r="X147" s="253"/>
      <c r="Y147" s="140">
        <f>IF(SUM(AS152:AT152)=0,"",AS152&amp;":"&amp;AT152)</f>
      </c>
      <c r="Z147" s="140">
        <f>IF(SUM(AS149:AT149)=0,"",AT149&amp;":"&amp;AS149)</f>
      </c>
      <c r="AA147" s="34">
        <f>IF(SUM(AS145:AT145)=0,"",AS145&amp;":"&amp;AT145)</f>
      </c>
      <c r="AB147" s="236"/>
      <c r="AC147" s="237"/>
      <c r="AD147" s="237"/>
      <c r="AE147" s="238"/>
      <c r="AF147" s="138"/>
      <c r="AG147" s="37" t="s">
        <v>15</v>
      </c>
      <c r="AH147" s="161">
        <f>IF(ISBLANK(S147),"",VLOOKUP(S147,'[1]plan_gier'!$X:$AN,12,FALSE))</f>
        <v>21</v>
      </c>
      <c r="AI147" s="162">
        <f>IF(ISBLANK(S147),"",VLOOKUP(S147,'[1]plan_gier'!$X:$AN,13,FALSE))</f>
        <v>0</v>
      </c>
      <c r="AJ147" s="162">
        <f>IF(ISBLANK(S147),"",VLOOKUP(S147,'[1]plan_gier'!$X:$AN,14,FALSE))</f>
        <v>21</v>
      </c>
      <c r="AK147" s="162">
        <f>IF(ISBLANK(S147),"",VLOOKUP(S147,'[1]plan_gier'!$X:$AN,15,FALSE))</f>
        <v>0</v>
      </c>
      <c r="AL147" s="162">
        <f>IF(ISBLANK(S147),"",VLOOKUP(S147,'[1]plan_gier'!$X:$AN,16,FALSE))</f>
        <v>0</v>
      </c>
      <c r="AM147" s="163">
        <f>IF(ISBLANK(S147),"",VLOOKUP(S147,'[1]plan_gier'!$X:$AN,17,FALSE))</f>
        <v>0</v>
      </c>
      <c r="AN147" s="149">
        <f t="shared" si="14"/>
        <v>42</v>
      </c>
      <c r="AO147" s="164">
        <f t="shared" si="15"/>
        <v>21</v>
      </c>
      <c r="AP147" s="162">
        <f t="shared" si="16"/>
        <v>0</v>
      </c>
      <c r="AQ147" s="165">
        <f t="shared" si="17"/>
        <v>21</v>
      </c>
      <c r="AR147" s="162">
        <f t="shared" si="18"/>
        <v>0</v>
      </c>
      <c r="AS147" s="165">
        <f t="shared" si="19"/>
        <v>0</v>
      </c>
      <c r="AT147" s="163">
        <f t="shared" si="20"/>
        <v>0</v>
      </c>
      <c r="AU147" s="152">
        <v>3</v>
      </c>
      <c r="AV147" s="161">
        <f>IF(AO147&lt;AP147,1,0)+IF(AQ147&lt;AR147,1,0)+IF(AS147&lt;AT147,1,0)</f>
        <v>0</v>
      </c>
      <c r="AW147" s="162">
        <f>AZ145</f>
        <v>2</v>
      </c>
      <c r="AX147" s="162">
        <f>IF(AO152&lt;AP152,1,0)+IF(AQ152&lt;AR152,1,0)+IF(AS152&lt;AT152,1,0)</f>
        <v>0</v>
      </c>
      <c r="AY147" s="162">
        <f>AZ146</f>
        <v>2</v>
      </c>
      <c r="AZ147" s="166"/>
      <c r="BA147" s="167"/>
      <c r="BB147" s="162">
        <f>IF(AO146&gt;AP146,1,0)+IF(AQ146&gt;AR146,1,0)+IF(AS146&gt;AT146,1,0)</f>
        <v>0</v>
      </c>
      <c r="BC147" s="169">
        <f>AZ148</f>
        <v>2</v>
      </c>
      <c r="BD147" s="162">
        <f>IF(AP153&gt;AO153,1,0)+IF(AR153&gt;AQ153,1,0)+IF(AT153&gt;AS153,1,0)</f>
        <v>0</v>
      </c>
      <c r="BE147" s="163">
        <f>AZ149</f>
        <v>2</v>
      </c>
      <c r="BF147" s="172">
        <f>AO146+AQ146+AS146+AP147+AR147+AT147+AP152+AR152+AT152+AP153+AR153+AT153</f>
        <v>48</v>
      </c>
      <c r="BG147" s="173">
        <f>AP146+AR146+AT146+AO147+AQ147+AS147+AO152+AQ152+AS152+AO153+AQ153+AS153</f>
        <v>168</v>
      </c>
      <c r="BH147" s="172">
        <f>AV147+AX147+BB147+BD147</f>
        <v>0</v>
      </c>
      <c r="BI147" s="174">
        <f>AW147+AY147+BC147+BE147</f>
        <v>8</v>
      </c>
      <c r="BJ147" s="161">
        <f>IF(AV147&gt;AW147,1,0)+IF(AX147&gt;AY147,1,0)+IF(BB147&gt;BC147,1,0)+IF(BD147&gt;BE147,1,0)</f>
        <v>0</v>
      </c>
      <c r="BK147" s="163">
        <f>IF(AW147&gt;AV147,1,0)+IF(AY147&gt;AX147,1,0)+IF(BC147&gt;BB147,1,0)+IF(BE147&gt;BD147,1,0)</f>
        <v>4</v>
      </c>
      <c r="BL147" s="170">
        <f>IF(BJ147+BK147=0,"",IF(BM147=MAX(BM145:BM149),1,IF(BM147=LARGE(BM145:BM149,2),2,IF(BM147=LARGE(BM145:BM149,3),3,IF(BM147=MIN(BM145:BM149),5,4)))))</f>
        <v>5</v>
      </c>
      <c r="BM147" s="158">
        <f>IF(BJ147+BK147&lt;&gt;0,BJ147-BK147+(BH147-BI147)/100+(BF147-BG147)/10000,-4)</f>
        <v>-4.092</v>
      </c>
      <c r="BQ147" s="159"/>
      <c r="BR147" s="159"/>
      <c r="BS147" s="159"/>
    </row>
    <row r="148" spans="1:71" s="11" customFormat="1" ht="11.25" customHeight="1" thickBot="1">
      <c r="A148" s="11">
        <f t="shared" si="13"/>
        <v>42</v>
      </c>
      <c r="B148" s="11" t="str">
        <f>IF(N152="","",N152)</f>
        <v>H0006</v>
      </c>
      <c r="C148" s="11">
        <f>IF(N153="","",N153)</f>
      </c>
      <c r="D148" s="11" t="str">
        <f>IF(N155="","",N155)</f>
        <v>R0016</v>
      </c>
      <c r="E148" s="11">
        <f>IF(N156="","",N156)</f>
      </c>
      <c r="J148" s="31"/>
      <c r="K148" s="31"/>
      <c r="M148" s="11" t="str">
        <f>N142</f>
        <v>Kobiet</v>
      </c>
      <c r="O148" s="31"/>
      <c r="P148" s="31"/>
      <c r="Q148" s="36">
        <f>IF(AN148&gt;0,"",IF(A148=0,"",IF(VLOOKUP(A148,'[1]plan_gier'!A:S,19,FALSE)="","",VLOOKUP(A148,'[1]plan_gier'!A:S,19,FALSE))))</f>
      </c>
      <c r="R148" s="142" t="s">
        <v>60</v>
      </c>
      <c r="S148" s="84">
        <v>42</v>
      </c>
      <c r="T148" s="236">
        <v>3</v>
      </c>
      <c r="U148" s="233">
        <f>IF(AND(N149&lt;&gt;"",N150&lt;&gt;""),CONCATENATE(VLOOKUP(N149,'[1]zawodnicy'!$A:$E,1,FALSE)," ",VLOOKUP(N149,'[1]zawodnicy'!$A:$E,2,FALSE)," ",VLOOKUP(N149,'[1]zawodnicy'!$A:$E,3,FALSE)," - ",VLOOKUP(N149,'[1]zawodnicy'!$A:$E,4,FALSE)),"")</f>
      </c>
      <c r="V148" s="233"/>
      <c r="W148" s="143" t="str">
        <f>IF(SUM(AO147:AP147)=0,"",AP147&amp;":"&amp;AO147)</f>
        <v>0:21</v>
      </c>
      <c r="X148" s="144" t="str">
        <f>IF(SUM(AO152:AP152)=0,"",AP152&amp;":"&amp;AO152)</f>
        <v>0:21</v>
      </c>
      <c r="Y148" s="253"/>
      <c r="Z148" s="144" t="str">
        <f>IF(SUM(AO146:AP146)=0,"",AO146&amp;":"&amp;AP146)</f>
        <v>18:21</v>
      </c>
      <c r="AA148" s="145" t="str">
        <f>IF(SUM(AO153:AP153)=0,"",AP153&amp;":"&amp;AO153)</f>
        <v>11:21</v>
      </c>
      <c r="AB148" s="236" t="str">
        <f>IF(SUM(AV147:AY147,BB147:BE147)=0,"",BF147&amp;":"&amp;BG147)</f>
        <v>48:168</v>
      </c>
      <c r="AC148" s="237" t="str">
        <f>IF(SUM(AV147:AY147,BB147:BE147)=0,"",BH147&amp;":"&amp;BI147)</f>
        <v>0:8</v>
      </c>
      <c r="AD148" s="237" t="str">
        <f>IF(SUM(AV147:AY147,BB147:BE147)=0,"",BJ147&amp;":"&amp;BK147)</f>
        <v>0:4</v>
      </c>
      <c r="AE148" s="238">
        <f>IF(SUM(BJ145:BJ149)&gt;0,BL147,"")</f>
        <v>5</v>
      </c>
      <c r="AF148" s="138"/>
      <c r="AG148" s="37" t="s">
        <v>60</v>
      </c>
      <c r="AH148" s="161">
        <f>IF(ISBLANK(S148),"",VLOOKUP(S148,'[1]plan_gier'!$X:$AN,12,FALSE))</f>
        <v>27</v>
      </c>
      <c r="AI148" s="162">
        <f>IF(ISBLANK(S148),"",VLOOKUP(S148,'[1]plan_gier'!$X:$AN,13,FALSE))</f>
        <v>25</v>
      </c>
      <c r="AJ148" s="162">
        <f>IF(ISBLANK(S148),"",VLOOKUP(S148,'[1]plan_gier'!$X:$AN,14,FALSE))</f>
        <v>21</v>
      </c>
      <c r="AK148" s="162">
        <f>IF(ISBLANK(S148),"",VLOOKUP(S148,'[1]plan_gier'!$X:$AN,15,FALSE))</f>
        <v>16</v>
      </c>
      <c r="AL148" s="162">
        <f>IF(ISBLANK(S148),"",VLOOKUP(S148,'[1]plan_gier'!$X:$AN,16,FALSE))</f>
        <v>0</v>
      </c>
      <c r="AM148" s="163">
        <f>IF(ISBLANK(S148),"",VLOOKUP(S148,'[1]plan_gier'!$X:$AN,17,FALSE))</f>
        <v>0</v>
      </c>
      <c r="AN148" s="149">
        <f t="shared" si="14"/>
        <v>89</v>
      </c>
      <c r="AO148" s="164">
        <f t="shared" si="15"/>
        <v>27</v>
      </c>
      <c r="AP148" s="162">
        <f t="shared" si="16"/>
        <v>25</v>
      </c>
      <c r="AQ148" s="165">
        <f t="shared" si="17"/>
        <v>21</v>
      </c>
      <c r="AR148" s="162">
        <f t="shared" si="18"/>
        <v>16</v>
      </c>
      <c r="AS148" s="165">
        <f t="shared" si="19"/>
        <v>0</v>
      </c>
      <c r="AT148" s="163">
        <f t="shared" si="20"/>
        <v>0</v>
      </c>
      <c r="AU148" s="152">
        <v>4</v>
      </c>
      <c r="AV148" s="161">
        <f>IF(AP151&lt;AO151,1,0)+IF(AR151&lt;AQ151,1,0)+IF(AT151&lt;AS151,1,0)</f>
        <v>0</v>
      </c>
      <c r="AW148" s="162">
        <f>BB145</f>
        <v>2</v>
      </c>
      <c r="AX148" s="162">
        <f>IF(AP149&lt;AO149,1,0)+IF(AR149&lt;AQ149,1,0)+IF(AT149&lt;AS149,1,0)</f>
        <v>0</v>
      </c>
      <c r="AY148" s="162">
        <f>BB146</f>
        <v>2</v>
      </c>
      <c r="AZ148" s="162">
        <f>IF(AO146&lt;AP146,1,0)+IF(AQ146&lt;AR146,1,0)+IF(AS146&lt;AT146,1,0)</f>
        <v>2</v>
      </c>
      <c r="BA148" s="162">
        <f>BB147</f>
        <v>0</v>
      </c>
      <c r="BB148" s="175"/>
      <c r="BC148" s="176"/>
      <c r="BD148" s="162">
        <f>IF(AO148&gt;AP148,1,0)+IF(AQ148&gt;AR148,1,0)+IF(AS148&gt;AT148,1,0)</f>
        <v>2</v>
      </c>
      <c r="BE148" s="163">
        <f>BB149</f>
        <v>0</v>
      </c>
      <c r="BF148" s="161">
        <f>AP146+AR146+AT146++AO148+AQ148+AS148+AO149+AQ149+AS149+AO151+AQ151+AS151</f>
        <v>112</v>
      </c>
      <c r="BG148" s="169">
        <f>AO146+AQ146+AS146+AP148+AR148+AT148+AP149+AR149+AT149+AP151+AR151+AT151</f>
        <v>153</v>
      </c>
      <c r="BH148" s="161">
        <f>AV148+AX148+AZ148+BD148</f>
        <v>4</v>
      </c>
      <c r="BI148" s="163">
        <f>AW148+AY148+BA148+BE148</f>
        <v>4</v>
      </c>
      <c r="BJ148" s="161">
        <f>IF(AV148&gt;AW148,1,0)+IF(AX148&gt;AY148,1,0)+IF(AZ148&gt;BA148,1,0)+IF(BD148&gt;BE148,1,0)</f>
        <v>2</v>
      </c>
      <c r="BK148" s="163">
        <f>IF(AW148&gt;AV148,1,0)+IF(AY148&gt;AX148,1,0)+IF(BA148&gt;AZ148,1,0)+IF(BE148&gt;BD148,1,0)</f>
        <v>2</v>
      </c>
      <c r="BL148" s="170">
        <f>IF(BJ148+BK148=0,"",IF(BM148=MAX(BM145:BM149),1,IF(BM148=LARGE(BM145:BM149,2),2,IF(BM148=LARGE(BM145:BM149,3),3,IF(BM148=MIN(BM145:BM149),5,4)))))</f>
        <v>3</v>
      </c>
      <c r="BM148" s="158">
        <f>IF(BJ148+BK148&lt;&gt;0,BJ148-BK148+(BH148-BI148)/100+(BF148-BG148)/10000,-4)</f>
        <v>-0.0041</v>
      </c>
      <c r="BQ148" s="159"/>
      <c r="BR148" s="159"/>
      <c r="BS148" s="159"/>
    </row>
    <row r="149" spans="1:71" s="11" customFormat="1" ht="11.25" customHeight="1" thickBot="1">
      <c r="A149" s="11">
        <f t="shared" si="13"/>
        <v>43</v>
      </c>
      <c r="B149" s="11" t="str">
        <f>IF(N152="","",N152)</f>
        <v>H0006</v>
      </c>
      <c r="C149" s="11">
        <f>IF(N153="","",N153)</f>
      </c>
      <c r="D149" s="11" t="str">
        <f>IF(N146="","",N146)</f>
        <v>O0006</v>
      </c>
      <c r="E149" s="11">
        <f>IF(N147="","",N147)</f>
      </c>
      <c r="M149" s="11" t="str">
        <f>N142</f>
        <v>Kobiet</v>
      </c>
      <c r="N149" s="29" t="s">
        <v>61</v>
      </c>
      <c r="O149" s="31"/>
      <c r="P149" s="31"/>
      <c r="Q149" s="36">
        <f>IF(AN149&gt;0,"",IF(A149=0,"",IF(VLOOKUP(A149,'[1]plan_gier'!A:S,19,FALSE)="","",VLOOKUP(A149,'[1]plan_gier'!A:S,19,FALSE))))</f>
      </c>
      <c r="R149" s="142" t="s">
        <v>62</v>
      </c>
      <c r="S149" s="84">
        <v>43</v>
      </c>
      <c r="T149" s="236"/>
      <c r="U149" s="228" t="str">
        <f>IF(AND(N149&lt;&gt;"",N150=""),CONCATENATE(VLOOKUP(N149,'[1]zawodnicy'!$A:$E,1,FALSE)," ",VLOOKUP(N149,'[1]zawodnicy'!$A:$E,2,FALSE)," ",VLOOKUP(N149,'[1]zawodnicy'!$A:$E,3,FALSE)," - ",VLOOKUP(N149,'[1]zawodnicy'!$A:$E,4,FALSE)),"")</f>
        <v>G0016 Wiktoria GRĄDZKA - Mielec</v>
      </c>
      <c r="V149" s="228"/>
      <c r="W149" s="160" t="str">
        <f>IF(SUM(AQ147:AR147)=0,"",AR147&amp;":"&amp;AQ147)</f>
        <v>0:21</v>
      </c>
      <c r="X149" s="139" t="str">
        <f>IF(SUM(AQ152:AR152)=0,"",AR152&amp;":"&amp;AQ152)</f>
        <v>0:21</v>
      </c>
      <c r="Y149" s="253"/>
      <c r="Z149" s="139" t="str">
        <f>IF(SUM(AQ146:AR146)=0,"",AQ146&amp;":"&amp;AR146)</f>
        <v>10:21</v>
      </c>
      <c r="AA149" s="28" t="str">
        <f>IF(SUM(AQ153:AR153)=0,"",AR153&amp;":"&amp;AQ153)</f>
        <v>9:21</v>
      </c>
      <c r="AB149" s="236"/>
      <c r="AC149" s="237"/>
      <c r="AD149" s="237"/>
      <c r="AE149" s="238"/>
      <c r="AF149" s="138"/>
      <c r="AG149" s="37" t="s">
        <v>62</v>
      </c>
      <c r="AH149" s="161">
        <f>IF(ISBLANK(S149),"",VLOOKUP(S149,'[1]plan_gier'!$X:$AN,12,FALSE))</f>
        <v>7</v>
      </c>
      <c r="AI149" s="162">
        <f>IF(ISBLANK(S149),"",VLOOKUP(S149,'[1]plan_gier'!$X:$AN,13,FALSE))</f>
        <v>21</v>
      </c>
      <c r="AJ149" s="162">
        <f>IF(ISBLANK(S149),"",VLOOKUP(S149,'[1]plan_gier'!$X:$AN,14,FALSE))</f>
        <v>4</v>
      </c>
      <c r="AK149" s="162">
        <f>IF(ISBLANK(S149),"",VLOOKUP(S149,'[1]plan_gier'!$X:$AN,15,FALSE))</f>
        <v>21</v>
      </c>
      <c r="AL149" s="162">
        <f>IF(ISBLANK(S149),"",VLOOKUP(S149,'[1]plan_gier'!$X:$AN,16,FALSE))</f>
        <v>0</v>
      </c>
      <c r="AM149" s="163">
        <f>IF(ISBLANK(S149),"",VLOOKUP(S149,'[1]plan_gier'!$X:$AN,17,FALSE))</f>
        <v>0</v>
      </c>
      <c r="AN149" s="149">
        <f t="shared" si="14"/>
        <v>53</v>
      </c>
      <c r="AO149" s="164">
        <f t="shared" si="15"/>
        <v>7</v>
      </c>
      <c r="AP149" s="162">
        <f t="shared" si="16"/>
        <v>21</v>
      </c>
      <c r="AQ149" s="165">
        <f t="shared" si="17"/>
        <v>4</v>
      </c>
      <c r="AR149" s="162">
        <f t="shared" si="18"/>
        <v>21</v>
      </c>
      <c r="AS149" s="165">
        <f t="shared" si="19"/>
        <v>0</v>
      </c>
      <c r="AT149" s="163">
        <f t="shared" si="20"/>
        <v>0</v>
      </c>
      <c r="AU149" s="152">
        <v>5</v>
      </c>
      <c r="AV149" s="177">
        <f>IF(AP150&lt;AO150,1,0)+IF(AR150&lt;AQ150,1,0)+IF(AT150&lt;AS150,1,0)</f>
        <v>0</v>
      </c>
      <c r="AW149" s="178">
        <f>BD145</f>
        <v>2</v>
      </c>
      <c r="AX149" s="178">
        <f>IF(AO145&lt;AP145,1,0)+IF(AQ145&lt;AR145,1,0)+IF(AS145&lt;AT145,1,0)</f>
        <v>0</v>
      </c>
      <c r="AY149" s="178">
        <f>BD146</f>
        <v>2</v>
      </c>
      <c r="AZ149" s="178">
        <f>IF(AP153&lt;AO153,1,0)+IF(AR153&lt;AQ153,1,0)+IF(AT153&lt;AS153,1,0)</f>
        <v>2</v>
      </c>
      <c r="BA149" s="178">
        <f>BD147</f>
        <v>0</v>
      </c>
      <c r="BB149" s="178">
        <f>IF(AO148&lt;AP148,1,0)+IF(AQ148&lt;AR148,1,0)+IF(AS148&lt;AT148,1,0)</f>
        <v>0</v>
      </c>
      <c r="BC149" s="178">
        <f>BD148</f>
        <v>2</v>
      </c>
      <c r="BD149" s="76"/>
      <c r="BE149" s="179"/>
      <c r="BF149" s="180">
        <f>AP145+AR145+AT145+AP148+AR148+AT148+AO150+AQ150+AS150+AO153+AQ153+AS153</f>
        <v>108</v>
      </c>
      <c r="BG149" s="181">
        <f>AO145+AQ145+AS145+AO148+AQ148+AS148+AP150+AR150+AT150+AP153+AR153+AT153</f>
        <v>152</v>
      </c>
      <c r="BH149" s="180">
        <f>AV149+AX149+AZ149+BB149</f>
        <v>2</v>
      </c>
      <c r="BI149" s="182">
        <f>AW149+AY149+BA149+BC149</f>
        <v>6</v>
      </c>
      <c r="BJ149" s="180">
        <f>IF(AV149&gt;AW149,1,0)+IF(AX149&gt;AY149,1,0)+IF(AZ149&gt;BA149,1,0)+IF(BB149&gt;BC149,1,0)</f>
        <v>1</v>
      </c>
      <c r="BK149" s="182">
        <f>IF(AW149&gt;AV149,1,0)+IF(AY149&gt;AX149,1,0)+IF(BA149&gt;AZ149,1,0)+IF(BC149&gt;BB149,1,0)</f>
        <v>3</v>
      </c>
      <c r="BL149" s="183">
        <f>IF(BJ149+BK149=0,"",IF(BM149=MAX(BM145:BM149),1,IF(BM149=LARGE(BM145:BM149,2),2,IF(BM149=LARGE(BM145:BM149,3),3,IF(BM149=MIN(BM145:BM149),5,4)))))</f>
        <v>4</v>
      </c>
      <c r="BM149" s="158">
        <f>IF(BJ149+BK149&lt;&gt;0,BJ149-BK149+(BH149-BI149)/100+(BF149-BG149)/10000,-4)</f>
        <v>-2.0444</v>
      </c>
      <c r="BQ149" s="159"/>
      <c r="BR149" s="159"/>
      <c r="BS149" s="159"/>
    </row>
    <row r="150" spans="1:65" s="11" customFormat="1" ht="11.25" customHeight="1">
      <c r="A150" s="11">
        <f t="shared" si="13"/>
        <v>44</v>
      </c>
      <c r="B150" s="11" t="str">
        <f>IF(N155="","",N155)</f>
        <v>R0016</v>
      </c>
      <c r="C150" s="11">
        <f>IF(N156="","",N156)</f>
      </c>
      <c r="D150" s="11" t="str">
        <f>IF(N143="","",N143)</f>
        <v>D0008</v>
      </c>
      <c r="E150" s="11">
        <f>IF(N144="","",N144)</f>
      </c>
      <c r="J150" s="31"/>
      <c r="K150" s="31"/>
      <c r="M150" s="11" t="str">
        <f>N142</f>
        <v>Kobiet</v>
      </c>
      <c r="N150" s="32"/>
      <c r="O150" s="31"/>
      <c r="P150" s="31"/>
      <c r="Q150" s="36">
        <f>IF(AN150&gt;0,"",IF(A150=0,"",IF(VLOOKUP(A150,'[1]plan_gier'!A:S,19,FALSE)="","",VLOOKUP(A150,'[1]plan_gier'!A:S,19,FALSE))))</f>
      </c>
      <c r="R150" s="142" t="s">
        <v>63</v>
      </c>
      <c r="S150" s="84">
        <v>44</v>
      </c>
      <c r="T150" s="236"/>
      <c r="U150" s="231">
        <f>IF(N150&lt;&gt;"",CONCATENATE(VLOOKUP(N150,'[1]zawodnicy'!$A:$E,1,FALSE)," ",VLOOKUP(N150,'[1]zawodnicy'!$A:$E,2,FALSE)," ",VLOOKUP(N150,'[1]zawodnicy'!$A:$E,3,FALSE)," - ",VLOOKUP(N150,'[1]zawodnicy'!$A:$E,4,FALSE)),"")</f>
      </c>
      <c r="V150" s="231"/>
      <c r="W150" s="171">
        <f>IF(SUM(AS147:AT147)=0,"",AT147&amp;":"&amp;AS147)</f>
      </c>
      <c r="X150" s="140">
        <f>IF(SUM(AS152:AT152)=0,"",AT152&amp;":"&amp;AS152)</f>
      </c>
      <c r="Y150" s="253"/>
      <c r="Z150" s="140">
        <f>IF(SUM(AS146:AT146)=0,"",AS146&amp;":"&amp;AT146)</f>
      </c>
      <c r="AA150" s="34">
        <f>IF(SUM(AS153:AT153)=0,"",AT153&amp;":"&amp;AS153)</f>
      </c>
      <c r="AB150" s="236"/>
      <c r="AC150" s="237"/>
      <c r="AD150" s="237"/>
      <c r="AE150" s="238"/>
      <c r="AF150" s="138"/>
      <c r="AG150" s="37" t="s">
        <v>63</v>
      </c>
      <c r="AH150" s="161">
        <f>IF(ISBLANK(S150),"",VLOOKUP(S150,'[1]plan_gier'!$X:$AN,12,FALSE))</f>
        <v>7</v>
      </c>
      <c r="AI150" s="162">
        <f>IF(ISBLANK(S150),"",VLOOKUP(S150,'[1]plan_gier'!$X:$AN,13,FALSE))</f>
        <v>21</v>
      </c>
      <c r="AJ150" s="162">
        <f>IF(ISBLANK(S150),"",VLOOKUP(S150,'[1]plan_gier'!$X:$AN,14,FALSE))</f>
        <v>5</v>
      </c>
      <c r="AK150" s="162">
        <f>IF(ISBLANK(S150),"",VLOOKUP(S150,'[1]plan_gier'!$X:$AN,15,FALSE))</f>
        <v>21</v>
      </c>
      <c r="AL150" s="162">
        <f>IF(ISBLANK(S150),"",VLOOKUP(S150,'[1]plan_gier'!$X:$AN,16,FALSE))</f>
        <v>0</v>
      </c>
      <c r="AM150" s="163">
        <f>IF(ISBLANK(S150),"",VLOOKUP(S150,'[1]plan_gier'!$X:$AN,17,FALSE))</f>
        <v>0</v>
      </c>
      <c r="AN150" s="149">
        <f t="shared" si="14"/>
        <v>54</v>
      </c>
      <c r="AO150" s="164">
        <f t="shared" si="15"/>
        <v>7</v>
      </c>
      <c r="AP150" s="162">
        <f t="shared" si="16"/>
        <v>21</v>
      </c>
      <c r="AQ150" s="165">
        <f t="shared" si="17"/>
        <v>5</v>
      </c>
      <c r="AR150" s="162">
        <f t="shared" si="18"/>
        <v>21</v>
      </c>
      <c r="AS150" s="165">
        <f t="shared" si="19"/>
        <v>0</v>
      </c>
      <c r="AT150" s="163">
        <f t="shared" si="20"/>
        <v>0</v>
      </c>
      <c r="AU150" s="138"/>
      <c r="AV150" s="184"/>
      <c r="AW150" s="184"/>
      <c r="AX150" s="184"/>
      <c r="AY150" s="184"/>
      <c r="AZ150" s="184"/>
      <c r="BA150" s="184"/>
      <c r="BF150" s="11">
        <f aca="true" t="shared" si="21" ref="BF150:BK150">SUM(BF145:BF149)</f>
        <v>637</v>
      </c>
      <c r="BG150" s="11">
        <f t="shared" si="21"/>
        <v>637</v>
      </c>
      <c r="BH150" s="11">
        <f t="shared" si="21"/>
        <v>21</v>
      </c>
      <c r="BI150" s="11">
        <f t="shared" si="21"/>
        <v>21</v>
      </c>
      <c r="BJ150" s="11">
        <f t="shared" si="21"/>
        <v>10</v>
      </c>
      <c r="BK150" s="11">
        <f t="shared" si="21"/>
        <v>10</v>
      </c>
      <c r="BM150" s="185">
        <f>SUM(BM145:BM149)</f>
        <v>0</v>
      </c>
    </row>
    <row r="151" spans="1:53" s="11" customFormat="1" ht="11.25" customHeight="1">
      <c r="A151" s="11">
        <f t="shared" si="13"/>
        <v>45</v>
      </c>
      <c r="B151" s="11" t="str">
        <f>IF(N152="","",N152)</f>
        <v>H0006</v>
      </c>
      <c r="C151" s="11">
        <f>IF(N153="","",N153)</f>
      </c>
      <c r="D151" s="11" t="str">
        <f>IF(N143="","",N143)</f>
        <v>D0008</v>
      </c>
      <c r="E151" s="11">
        <f>IF(N144="","",N144)</f>
      </c>
      <c r="J151" s="31"/>
      <c r="K151" s="31"/>
      <c r="M151" s="11" t="str">
        <f>N142</f>
        <v>Kobiet</v>
      </c>
      <c r="O151" s="31"/>
      <c r="P151" s="31"/>
      <c r="Q151" s="36">
        <f>IF(AN151&gt;0,"",IF(A151=0,"",IF(VLOOKUP(A151,'[1]plan_gier'!A:S,19,FALSE)="","",VLOOKUP(A151,'[1]plan_gier'!A:S,19,FALSE))))</f>
      </c>
      <c r="R151" s="142" t="s">
        <v>64</v>
      </c>
      <c r="S151" s="84">
        <v>45</v>
      </c>
      <c r="T151" s="236">
        <v>4</v>
      </c>
      <c r="U151" s="233">
        <f>IF(AND(N152&lt;&gt;"",N153&lt;&gt;""),CONCATENATE(VLOOKUP(N152,'[1]zawodnicy'!$A:$E,1,FALSE)," ",VLOOKUP(N152,'[1]zawodnicy'!$A:$E,2,FALSE)," ",VLOOKUP(N152,'[1]zawodnicy'!$A:$E,3,FALSE)," - ",VLOOKUP(N152,'[1]zawodnicy'!$A:$E,4,FALSE)),"")</f>
      </c>
      <c r="V151" s="233"/>
      <c r="W151" s="143" t="str">
        <f>IF(SUM(AO151:AP151)=0,"",AO151&amp;":"&amp;AP151)</f>
        <v>6:21</v>
      </c>
      <c r="X151" s="144" t="str">
        <f>IF(SUM(AO149:AP149)=0,"",AO149&amp;":"&amp;AP149)</f>
        <v>7:21</v>
      </c>
      <c r="Y151" s="144" t="str">
        <f>IF(SUM(AO146:AP146)=0,"",AP146&amp;":"&amp;AO146)</f>
        <v>21:18</v>
      </c>
      <c r="Z151" s="253"/>
      <c r="AA151" s="145" t="str">
        <f>IF(SUM(AO148:AP148)=0,"",AO148&amp;":"&amp;AP148)</f>
        <v>27:25</v>
      </c>
      <c r="AB151" s="236" t="str">
        <f>IF(SUM(AV148:BA148,BD148:BE148)=0,"",BF148&amp;":"&amp;BG148)</f>
        <v>112:153</v>
      </c>
      <c r="AC151" s="237" t="str">
        <f>IF(SUM(AV148:BA148,BD148:BE148)=0,"",BH148&amp;":"&amp;BI148)</f>
        <v>4:4</v>
      </c>
      <c r="AD151" s="237" t="str">
        <f>IF(SUM(AV148:BA148,BD148:BE148)=0,"",BJ148&amp;":"&amp;BK148)</f>
        <v>2:2</v>
      </c>
      <c r="AE151" s="238">
        <f>IF(SUM(BJ145:BJ149)&gt;0,BL148,"")</f>
        <v>3</v>
      </c>
      <c r="AF151" s="138"/>
      <c r="AG151" s="37" t="s">
        <v>64</v>
      </c>
      <c r="AH151" s="161">
        <f>IF(ISBLANK(S151),"",VLOOKUP(S151,'[1]plan_gier'!$X:$AN,12,FALSE))</f>
        <v>6</v>
      </c>
      <c r="AI151" s="162">
        <f>IF(ISBLANK(S151),"",VLOOKUP(S151,'[1]plan_gier'!$X:$AN,13,FALSE))</f>
        <v>21</v>
      </c>
      <c r="AJ151" s="162">
        <f>IF(ISBLANK(S151),"",VLOOKUP(S151,'[1]plan_gier'!$X:$AN,14,FALSE))</f>
        <v>5</v>
      </c>
      <c r="AK151" s="162">
        <f>IF(ISBLANK(S151),"",VLOOKUP(S151,'[1]plan_gier'!$X:$AN,15,FALSE))</f>
        <v>21</v>
      </c>
      <c r="AL151" s="162">
        <f>IF(ISBLANK(S151),"",VLOOKUP(S151,'[1]plan_gier'!$X:$AN,16,FALSE))</f>
        <v>0</v>
      </c>
      <c r="AM151" s="163">
        <f>IF(ISBLANK(S151),"",VLOOKUP(S151,'[1]plan_gier'!$X:$AN,17,FALSE))</f>
        <v>0</v>
      </c>
      <c r="AN151" s="149">
        <f t="shared" si="14"/>
        <v>53</v>
      </c>
      <c r="AO151" s="164">
        <f t="shared" si="15"/>
        <v>6</v>
      </c>
      <c r="AP151" s="162">
        <f t="shared" si="16"/>
        <v>21</v>
      </c>
      <c r="AQ151" s="165">
        <f t="shared" si="17"/>
        <v>5</v>
      </c>
      <c r="AR151" s="162">
        <f t="shared" si="18"/>
        <v>21</v>
      </c>
      <c r="AS151" s="165">
        <f t="shared" si="19"/>
        <v>0</v>
      </c>
      <c r="AT151" s="163">
        <f t="shared" si="20"/>
        <v>0</v>
      </c>
      <c r="AU151" s="138"/>
      <c r="AV151" s="184"/>
      <c r="AW151" s="184"/>
      <c r="AX151" s="184"/>
      <c r="AY151" s="184"/>
      <c r="AZ151" s="184"/>
      <c r="BA151" s="184"/>
    </row>
    <row r="152" spans="1:53" s="11" customFormat="1" ht="11.25" customHeight="1">
      <c r="A152" s="11">
        <f t="shared" si="13"/>
        <v>46</v>
      </c>
      <c r="B152" s="11" t="str">
        <f>IF(N146="","",N146)</f>
        <v>O0006</v>
      </c>
      <c r="C152" s="11">
        <f>IF(N147="","",N147)</f>
      </c>
      <c r="D152" s="11" t="str">
        <f>IF(N149="","",N149)</f>
        <v>G0016</v>
      </c>
      <c r="E152" s="11">
        <f>IF(N150="","",N150)</f>
      </c>
      <c r="M152" s="11" t="str">
        <f>N142</f>
        <v>Kobiet</v>
      </c>
      <c r="N152" s="29" t="s">
        <v>16</v>
      </c>
      <c r="O152" s="31"/>
      <c r="P152" s="31"/>
      <c r="Q152" s="36">
        <f>IF(AN152&gt;0,"",IF(A152=0,"",IF(VLOOKUP(A152,'[1]plan_gier'!A:S,19,FALSE)="","",VLOOKUP(A152,'[1]plan_gier'!A:S,19,FALSE))))</f>
      </c>
      <c r="R152" s="142" t="s">
        <v>19</v>
      </c>
      <c r="S152" s="84">
        <v>46</v>
      </c>
      <c r="T152" s="236"/>
      <c r="U152" s="228" t="str">
        <f>IF(AND(N152&lt;&gt;"",N153=""),CONCATENATE(VLOOKUP(N152,'[1]zawodnicy'!$A:$E,1,FALSE)," ",VLOOKUP(N152,'[1]zawodnicy'!$A:$E,2,FALSE)," ",VLOOKUP(N152,'[1]zawodnicy'!$A:$E,3,FALSE)," - ",VLOOKUP(N152,'[1]zawodnicy'!$A:$E,4,FALSE)),"")</f>
        <v>H0006 Natalia HAŁATA - Mielec</v>
      </c>
      <c r="V152" s="228"/>
      <c r="W152" s="160" t="str">
        <f>IF(SUM(AQ151:AR151)=0,"",AQ151&amp;":"&amp;AR151)</f>
        <v>5:21</v>
      </c>
      <c r="X152" s="139" t="str">
        <f>IF(SUM(AQ149:AR149)=0,"",AQ149&amp;":"&amp;AR149)</f>
        <v>4:21</v>
      </c>
      <c r="Y152" s="139" t="str">
        <f>IF(SUM(AQ146:AR146)=0,"",AR146&amp;":"&amp;AQ146)</f>
        <v>21:10</v>
      </c>
      <c r="Z152" s="253"/>
      <c r="AA152" s="28" t="str">
        <f>IF(SUM(AQ148:AR148)=0,"",AQ148&amp;":"&amp;AR148)</f>
        <v>21:16</v>
      </c>
      <c r="AB152" s="236"/>
      <c r="AC152" s="237"/>
      <c r="AD152" s="237"/>
      <c r="AE152" s="238"/>
      <c r="AF152" s="138"/>
      <c r="AG152" s="37" t="s">
        <v>19</v>
      </c>
      <c r="AH152" s="161">
        <f>IF(ISBLANK(S152),"",VLOOKUP(S152,'[1]plan_gier'!$X:$AN,12,FALSE))</f>
        <v>21</v>
      </c>
      <c r="AI152" s="162">
        <f>IF(ISBLANK(S152),"",VLOOKUP(S152,'[1]plan_gier'!$X:$AN,13,FALSE))</f>
        <v>0</v>
      </c>
      <c r="AJ152" s="162">
        <f>IF(ISBLANK(S152),"",VLOOKUP(S152,'[1]plan_gier'!$X:$AN,14,FALSE))</f>
        <v>21</v>
      </c>
      <c r="AK152" s="162">
        <f>IF(ISBLANK(S152),"",VLOOKUP(S152,'[1]plan_gier'!$X:$AN,15,FALSE))</f>
        <v>0</v>
      </c>
      <c r="AL152" s="162">
        <f>IF(ISBLANK(S152),"",VLOOKUP(S152,'[1]plan_gier'!$X:$AN,16,FALSE))</f>
        <v>0</v>
      </c>
      <c r="AM152" s="163">
        <f>IF(ISBLANK(S152),"",VLOOKUP(S152,'[1]plan_gier'!$X:$AN,17,FALSE))</f>
        <v>0</v>
      </c>
      <c r="AN152" s="149">
        <f t="shared" si="14"/>
        <v>42</v>
      </c>
      <c r="AO152" s="164">
        <f t="shared" si="15"/>
        <v>21</v>
      </c>
      <c r="AP152" s="162">
        <f t="shared" si="16"/>
        <v>0</v>
      </c>
      <c r="AQ152" s="165">
        <f t="shared" si="17"/>
        <v>21</v>
      </c>
      <c r="AR152" s="162">
        <f t="shared" si="18"/>
        <v>0</v>
      </c>
      <c r="AS152" s="165">
        <f t="shared" si="19"/>
        <v>0</v>
      </c>
      <c r="AT152" s="163">
        <f t="shared" si="20"/>
        <v>0</v>
      </c>
      <c r="AU152" s="138"/>
      <c r="AV152" s="184"/>
      <c r="AW152" s="184"/>
      <c r="AX152" s="184"/>
      <c r="AY152" s="184"/>
      <c r="AZ152" s="184"/>
      <c r="BA152" s="184"/>
    </row>
    <row r="153" spans="1:53" s="11" customFormat="1" ht="11.25" customHeight="1">
      <c r="A153" s="11">
        <f t="shared" si="13"/>
        <v>47</v>
      </c>
      <c r="B153" s="11" t="str">
        <f>IF(N155="","",N155)</f>
        <v>R0016</v>
      </c>
      <c r="C153" s="11">
        <f>IF(N156="","",N156)</f>
      </c>
      <c r="D153" s="11" t="str">
        <f>IF(N149="","",N149)</f>
        <v>G0016</v>
      </c>
      <c r="E153" s="11">
        <f>IF(N150="","",N150)</f>
      </c>
      <c r="J153" s="31"/>
      <c r="K153" s="31"/>
      <c r="M153" s="11" t="str">
        <f>N142</f>
        <v>Kobiet</v>
      </c>
      <c r="N153" s="32"/>
      <c r="O153" s="31"/>
      <c r="P153" s="31"/>
      <c r="Q153" s="36">
        <f>IF(AN153&gt;0,"",IF(A153=0,"",IF(VLOOKUP(A153,'[1]plan_gier'!A:S,19,FALSE)="","",VLOOKUP(A153,'[1]plan_gier'!A:S,19,FALSE))))</f>
      </c>
      <c r="R153" s="142" t="s">
        <v>65</v>
      </c>
      <c r="S153" s="84">
        <v>47</v>
      </c>
      <c r="T153" s="236"/>
      <c r="U153" s="231">
        <f>IF(N153&lt;&gt;"",CONCATENATE(VLOOKUP(N153,'[1]zawodnicy'!$A:$E,1,FALSE)," ",VLOOKUP(N153,'[1]zawodnicy'!$A:$E,2,FALSE)," ",VLOOKUP(N153,'[1]zawodnicy'!$A:$E,3,FALSE)," - ",VLOOKUP(N153,'[1]zawodnicy'!$A:$E,4,FALSE)),"")</f>
      </c>
      <c r="V153" s="231"/>
      <c r="W153" s="171">
        <f>IF(SUM(AS151:AT151)=0,"",AS151&amp;":"&amp;AT151)</f>
      </c>
      <c r="X153" s="140">
        <f>IF(SUM(AS149:AT149)=0,"",AS149&amp;":"&amp;AT149)</f>
      </c>
      <c r="Y153" s="140">
        <f>IF(SUM(AS146:AT146)=0,"",AT146&amp;":"&amp;AS146)</f>
      </c>
      <c r="Z153" s="253"/>
      <c r="AA153" s="34">
        <f>IF(SUM(AS148:AT148)=0,"",AS148&amp;":"&amp;AT148)</f>
      </c>
      <c r="AB153" s="236"/>
      <c r="AC153" s="237"/>
      <c r="AD153" s="237"/>
      <c r="AE153" s="238"/>
      <c r="AF153" s="138"/>
      <c r="AG153" s="37" t="s">
        <v>65</v>
      </c>
      <c r="AH153" s="161">
        <f>IF(ISBLANK(S153),"",VLOOKUP(S153,'[1]plan_gier'!$X:$AN,12,FALSE))</f>
        <v>21</v>
      </c>
      <c r="AI153" s="162">
        <f>IF(ISBLANK(S153),"",VLOOKUP(S153,'[1]plan_gier'!$X:$AN,13,FALSE))</f>
        <v>11</v>
      </c>
      <c r="AJ153" s="162">
        <f>IF(ISBLANK(S153),"",VLOOKUP(S153,'[1]plan_gier'!$X:$AN,14,FALSE))</f>
        <v>21</v>
      </c>
      <c r="AK153" s="162">
        <f>IF(ISBLANK(S153),"",VLOOKUP(S153,'[1]plan_gier'!$X:$AN,15,FALSE))</f>
        <v>9</v>
      </c>
      <c r="AL153" s="162">
        <f>IF(ISBLANK(S153),"",VLOOKUP(S153,'[1]plan_gier'!$X:$AN,16,FALSE))</f>
        <v>0</v>
      </c>
      <c r="AM153" s="163">
        <f>IF(ISBLANK(S153),"",VLOOKUP(S153,'[1]plan_gier'!$X:$AN,17,FALSE))</f>
        <v>0</v>
      </c>
      <c r="AN153" s="149">
        <f t="shared" si="14"/>
        <v>62</v>
      </c>
      <c r="AO153" s="164">
        <f t="shared" si="15"/>
        <v>21</v>
      </c>
      <c r="AP153" s="162">
        <f t="shared" si="16"/>
        <v>11</v>
      </c>
      <c r="AQ153" s="165">
        <f t="shared" si="17"/>
        <v>21</v>
      </c>
      <c r="AR153" s="162">
        <f t="shared" si="18"/>
        <v>9</v>
      </c>
      <c r="AS153" s="165">
        <f t="shared" si="19"/>
        <v>0</v>
      </c>
      <c r="AT153" s="163">
        <f t="shared" si="20"/>
        <v>0</v>
      </c>
      <c r="AU153" s="138"/>
      <c r="AV153" s="184"/>
      <c r="AW153" s="184"/>
      <c r="AX153" s="184"/>
      <c r="AY153" s="184"/>
      <c r="AZ153" s="184"/>
      <c r="BA153" s="184"/>
    </row>
    <row r="154" spans="1:53" s="11" customFormat="1" ht="11.25" customHeight="1" thickBot="1">
      <c r="A154" s="11">
        <f t="shared" si="13"/>
        <v>48</v>
      </c>
      <c r="B154" s="11" t="str">
        <f>IF(N143="","",N143)</f>
        <v>D0008</v>
      </c>
      <c r="C154" s="11">
        <f>IF(N144="","",N144)</f>
      </c>
      <c r="D154" s="11" t="str">
        <f>IF(N146="","",N146)</f>
        <v>O0006</v>
      </c>
      <c r="E154" s="11">
        <f>IF(N147="","",N147)</f>
      </c>
      <c r="J154" s="31"/>
      <c r="K154" s="31"/>
      <c r="M154" s="11" t="str">
        <f>N142</f>
        <v>Kobiet</v>
      </c>
      <c r="O154" s="31"/>
      <c r="P154" s="31"/>
      <c r="Q154" s="36">
        <f>IF(AN154&gt;0,"",IF(A154=0,"",IF(VLOOKUP(A154,'[1]plan_gier'!A:S,19,FALSE)="","",VLOOKUP(A154,'[1]plan_gier'!A:S,19,FALSE))))</f>
      </c>
      <c r="R154" s="142" t="s">
        <v>22</v>
      </c>
      <c r="S154" s="84">
        <v>48</v>
      </c>
      <c r="T154" s="232">
        <v>5</v>
      </c>
      <c r="U154" s="233">
        <f>IF(AND(N155&lt;&gt;"",N156&lt;&gt;""),CONCATENATE(VLOOKUP(N155,'[1]zawodnicy'!$A:$E,1,FALSE)," ",VLOOKUP(N155,'[1]zawodnicy'!$A:$E,2,FALSE)," ",VLOOKUP(N155,'[1]zawodnicy'!$A:$E,3,FALSE)," - ",VLOOKUP(N155,'[1]zawodnicy'!$A:$E,4,FALSE)),"")</f>
      </c>
      <c r="V154" s="233"/>
      <c r="W154" s="143" t="str">
        <f>IF(SUM(AO150:AP150)=0,"",AO150&amp;":"&amp;AP150)</f>
        <v>7:21</v>
      </c>
      <c r="X154" s="144" t="str">
        <f>IF(SUM(AO145:AP145)=0,"",AP145&amp;":"&amp;AO145)</f>
        <v>7:21</v>
      </c>
      <c r="Y154" s="144" t="str">
        <f>IF(SUM(AO153:AP153)=0,"",AO153&amp;":"&amp;AP153)</f>
        <v>21:11</v>
      </c>
      <c r="Z154" s="144" t="str">
        <f>IF(SUM(AO148:AP148)=0,"",AP148&amp;":"&amp;AO148)</f>
        <v>25:27</v>
      </c>
      <c r="AA154" s="252"/>
      <c r="AB154" s="232" t="str">
        <f>IF(SUM(AV149:BC149)=0,"",BF149&amp;":"&amp;BG149)</f>
        <v>108:152</v>
      </c>
      <c r="AC154" s="234" t="str">
        <f>IF(SUM(AV149:BC149)=0,"",BH149&amp;":"&amp;BI149)</f>
        <v>2:6</v>
      </c>
      <c r="AD154" s="234" t="str">
        <f>IF(SUM(AV149:BC149)=0,"",BJ149&amp;":"&amp;BK149)</f>
        <v>1:3</v>
      </c>
      <c r="AE154" s="227">
        <f>IF(SUM(BJ145:BJ149)&gt;0,BL149,"")</f>
        <v>4</v>
      </c>
      <c r="AF154" s="138"/>
      <c r="AG154" s="37" t="s">
        <v>22</v>
      </c>
      <c r="AH154" s="177">
        <f>IF(ISBLANK(S154),"",VLOOKUP(S154,'[1]plan_gier'!$X:$AN,12,FALSE))</f>
        <v>22</v>
      </c>
      <c r="AI154" s="178">
        <f>IF(ISBLANK(S154),"",VLOOKUP(S154,'[1]plan_gier'!$X:$AN,13,FALSE))</f>
        <v>20</v>
      </c>
      <c r="AJ154" s="178">
        <f>IF(ISBLANK(S154),"",VLOOKUP(S154,'[1]plan_gier'!$X:$AN,14,FALSE))</f>
        <v>19</v>
      </c>
      <c r="AK154" s="178">
        <f>IF(ISBLANK(S154),"",VLOOKUP(S154,'[1]plan_gier'!$X:$AN,15,FALSE))</f>
        <v>21</v>
      </c>
      <c r="AL154" s="178">
        <f>IF(ISBLANK(S154),"",VLOOKUP(S154,'[1]plan_gier'!$X:$AN,16,FALSE))</f>
        <v>14</v>
      </c>
      <c r="AM154" s="186">
        <f>IF(ISBLANK(S154),"",VLOOKUP(S154,'[1]plan_gier'!$X:$AN,17,FALSE))</f>
        <v>21</v>
      </c>
      <c r="AN154" s="149">
        <f t="shared" si="14"/>
        <v>117</v>
      </c>
      <c r="AO154" s="187">
        <f t="shared" si="15"/>
        <v>22</v>
      </c>
      <c r="AP154" s="178">
        <f t="shared" si="16"/>
        <v>20</v>
      </c>
      <c r="AQ154" s="188">
        <f t="shared" si="17"/>
        <v>19</v>
      </c>
      <c r="AR154" s="178">
        <f t="shared" si="18"/>
        <v>21</v>
      </c>
      <c r="AS154" s="188">
        <f t="shared" si="19"/>
        <v>14</v>
      </c>
      <c r="AT154" s="186">
        <f t="shared" si="20"/>
        <v>21</v>
      </c>
      <c r="AU154" s="138"/>
      <c r="AV154" s="184"/>
      <c r="AW154" s="184"/>
      <c r="AX154" s="184"/>
      <c r="AY154" s="184"/>
      <c r="AZ154" s="184"/>
      <c r="BA154" s="184"/>
    </row>
    <row r="155" spans="14:32" s="11" customFormat="1" ht="11.25" customHeight="1" thickBot="1">
      <c r="N155" s="29" t="s">
        <v>20</v>
      </c>
      <c r="O155" s="31"/>
      <c r="P155" s="31"/>
      <c r="Q155" s="10"/>
      <c r="R155" s="10"/>
      <c r="S155" s="84"/>
      <c r="T155" s="232"/>
      <c r="U155" s="228" t="str">
        <f>IF(AND(N155&lt;&gt;"",N156=""),CONCATENATE(VLOOKUP(N155,'[1]zawodnicy'!$A:$E,1,FALSE)," ",VLOOKUP(N155,'[1]zawodnicy'!$A:$E,2,FALSE)," ",VLOOKUP(N155,'[1]zawodnicy'!$A:$E,3,FALSE)," - ",VLOOKUP(N155,'[1]zawodnicy'!$A:$E,4,FALSE)),"")</f>
        <v>R0016 Oliwia RYBIŃSKA - Mielec</v>
      </c>
      <c r="V155" s="228"/>
      <c r="W155" s="160" t="str">
        <f>IF(SUM(AQ150:AR150)=0,"",AQ150&amp;":"&amp;AR150)</f>
        <v>5:21</v>
      </c>
      <c r="X155" s="139" t="str">
        <f>IF(SUM(AQ145:AR145)=0,"",AR145&amp;":"&amp;AQ145)</f>
        <v>6:21</v>
      </c>
      <c r="Y155" s="139" t="str">
        <f>IF(SUM(AQ153:AR153)=0,"",AQ153&amp;":"&amp;AR153)</f>
        <v>21:9</v>
      </c>
      <c r="Z155" s="139" t="str">
        <f>IF(SUM(AQ148:AR148)=0,"",AR148&amp;":"&amp;AQ148)</f>
        <v>16:21</v>
      </c>
      <c r="AA155" s="252"/>
      <c r="AB155" s="232"/>
      <c r="AC155" s="234"/>
      <c r="AD155" s="234"/>
      <c r="AE155" s="227"/>
      <c r="AF155" s="138"/>
    </row>
    <row r="156" spans="10:32" s="11" customFormat="1" ht="11.25" customHeight="1" thickBot="1">
      <c r="J156" s="31"/>
      <c r="K156" s="31"/>
      <c r="L156" s="31"/>
      <c r="N156" s="189"/>
      <c r="O156" s="31"/>
      <c r="P156" s="31"/>
      <c r="T156" s="232"/>
      <c r="U156" s="229">
        <f>IF(N156&lt;&gt;"",CONCATENATE(VLOOKUP(N156,'[1]zawodnicy'!$A:$E,1,FALSE)," ",VLOOKUP(N156,'[1]zawodnicy'!$A:$E,2,FALSE)," ",VLOOKUP(N156,'[1]zawodnicy'!$A:$E,3,FALSE)," - ",VLOOKUP(N156,'[1]zawodnicy'!$A:$E,4,FALSE)),"")</f>
      </c>
      <c r="V156" s="229"/>
      <c r="W156" s="190">
        <f>IF(SUM(AS150:AT150)=0,"",AS150&amp;":"&amp;AT150)</f>
      </c>
      <c r="X156" s="191">
        <f>IF(SUM(AS145:AT145)=0,"",AT145&amp;":"&amp;AS145)</f>
      </c>
      <c r="Y156" s="191">
        <f>IF(SUM(AS153:AT153)=0,"",AS153&amp;":"&amp;AT153)</f>
      </c>
      <c r="Z156" s="191">
        <f>IF(SUM(AS148:AT148)=0,"",AT148&amp;":"&amp;AS148)</f>
      </c>
      <c r="AA156" s="252"/>
      <c r="AB156" s="232"/>
      <c r="AC156" s="234"/>
      <c r="AD156" s="234"/>
      <c r="AE156" s="227"/>
      <c r="AF156" s="138"/>
    </row>
    <row r="157" ht="11.25" customHeight="1"/>
    <row r="158" spans="13:31" ht="11.25" customHeight="1">
      <c r="M158" s="8"/>
      <c r="N158" s="9" t="s">
        <v>66</v>
      </c>
      <c r="Q158" s="245" t="str">
        <f>"Gra "&amp;N158</f>
        <v>Gra Old Boys</v>
      </c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</row>
    <row r="159" ht="11.25" customHeight="1" thickBot="1"/>
    <row r="160" spans="14:32" ht="11.25" customHeight="1" thickBot="1">
      <c r="N160" s="7"/>
      <c r="O160" s="14">
        <v>1</v>
      </c>
      <c r="Q160" s="245" t="str">
        <f>"Grupa "&amp;O160&amp;"."</f>
        <v>Grupa 1.</v>
      </c>
      <c r="R160" s="245"/>
      <c r="S160" s="245"/>
      <c r="T160" s="15" t="s">
        <v>1</v>
      </c>
      <c r="U160" s="246" t="s">
        <v>2</v>
      </c>
      <c r="V160" s="246"/>
      <c r="W160" s="15">
        <v>1</v>
      </c>
      <c r="X160" s="18">
        <v>2</v>
      </c>
      <c r="Y160" s="16">
        <v>3</v>
      </c>
      <c r="Z160" s="89" t="s">
        <v>3</v>
      </c>
      <c r="AA160" s="22" t="s">
        <v>4</v>
      </c>
      <c r="AB160" s="22" t="s">
        <v>5</v>
      </c>
      <c r="AC160" s="90" t="s">
        <v>6</v>
      </c>
      <c r="AD160" s="2"/>
      <c r="AE160" s="24"/>
      <c r="AF160" s="24"/>
    </row>
    <row r="161" spans="10:45" ht="11.25" customHeight="1" thickBot="1">
      <c r="J161" s="31"/>
      <c r="K161" s="31"/>
      <c r="L161" s="31"/>
      <c r="N161" s="25" t="s">
        <v>66</v>
      </c>
      <c r="Q161" s="247" t="s">
        <v>9</v>
      </c>
      <c r="R161" s="247"/>
      <c r="S161" s="248" t="s">
        <v>10</v>
      </c>
      <c r="T161" s="249">
        <v>1</v>
      </c>
      <c r="U161" s="250">
        <f>IF(AND(N162&lt;&gt;"",N163&lt;&gt;""),CONCATENATE(VLOOKUP(N162,'[1]zawodnicy'!$A:$E,1,FALSE)," ",VLOOKUP(N162,'[1]zawodnicy'!$A:$E,2,FALSE)," ",VLOOKUP(N162,'[1]zawodnicy'!$A:$E,3,FALSE)," - ",VLOOKUP(N162,'[1]zawodnicy'!$A:$E,4,FALSE)),"")</f>
      </c>
      <c r="V161" s="250"/>
      <c r="W161" s="91"/>
      <c r="X161" s="92" t="str">
        <f>IF(SUM(AN166:AO166)=0,"",AN166&amp;":"&amp;AO166)</f>
        <v>21:12</v>
      </c>
      <c r="Y161" s="93" t="str">
        <f>IF(SUM(AN164:AO164)=0,"",AN164&amp;":"&amp;AO164)</f>
        <v>21:14</v>
      </c>
      <c r="Z161" s="249" t="str">
        <f>IF(SUM(AX164:BA164)=0,"",BD164&amp;":"&amp;BE164)</f>
        <v>84:53</v>
      </c>
      <c r="AA161" s="242" t="str">
        <f>IF(SUM(AX164:BA164)=0,"",BF164&amp;":"&amp;BG164)</f>
        <v>4:0</v>
      </c>
      <c r="AB161" s="242" t="str">
        <f>IF(SUM(AX164:BA164)=0,"",BH164&amp;":"&amp;BI164)</f>
        <v>2:0</v>
      </c>
      <c r="AC161" s="243">
        <f>IF(SUM(BH164:BH166)&gt;0,BJ164,"")</f>
        <v>1</v>
      </c>
      <c r="AD161" s="2"/>
      <c r="AE161" s="24"/>
      <c r="AF161" s="24"/>
      <c r="AH161" s="244" t="s">
        <v>7</v>
      </c>
      <c r="AI161" s="244"/>
      <c r="AJ161" s="244"/>
      <c r="AK161" s="244"/>
      <c r="AL161" s="244"/>
      <c r="AM161" s="244"/>
      <c r="AN161" s="244" t="s">
        <v>8</v>
      </c>
      <c r="AO161" s="244"/>
      <c r="AP161" s="244"/>
      <c r="AQ161" s="244"/>
      <c r="AR161" s="244"/>
      <c r="AS161" s="244"/>
    </row>
    <row r="162" spans="9:59" ht="11.25" customHeight="1" thickBot="1">
      <c r="I162" s="2" t="str">
        <f>"1"&amp;O160&amp;N161</f>
        <v>11Old Boys</v>
      </c>
      <c r="J162" s="2" t="str">
        <f>IF(AC161="","",IF(AC161=1,N162,IF(AC164=1,N165,IF(AC167=1,N168,""))))</f>
        <v>K0003</v>
      </c>
      <c r="K162" s="2">
        <f>IF(AC161="","",IF(AC161=1,N163,IF(AC164=1,N166,IF(AC167=1,N169,""))))</f>
        <v>0</v>
      </c>
      <c r="L162" s="2"/>
      <c r="N162" s="29" t="s">
        <v>67</v>
      </c>
      <c r="O162" s="30">
        <f>IF(O160&gt;0,(O160&amp;1)*1,"")</f>
        <v>11</v>
      </c>
      <c r="Q162" s="247"/>
      <c r="R162" s="247"/>
      <c r="S162" s="248"/>
      <c r="T162" s="249"/>
      <c r="U162" s="228" t="str">
        <f>IF(AND(N162&lt;&gt;"",N163=""),CONCATENATE(VLOOKUP(N162,'[1]zawodnicy'!$A:$E,1,FALSE)," ",VLOOKUP(N162,'[1]zawodnicy'!$A:$E,2,FALSE)," ",VLOOKUP(N162,'[1]zawodnicy'!$A:$E,3,FALSE)," - ",VLOOKUP(N162,'[1]zawodnicy'!$A:$E,4,FALSE)),"")</f>
        <v>K0003 Robert KARNASIEWICZ - Mielec</v>
      </c>
      <c r="V162" s="228"/>
      <c r="W162" s="26"/>
      <c r="X162" s="27" t="str">
        <f>IF(SUM(AP166:AQ166)=0,"",AP166&amp;":"&amp;AQ166)</f>
        <v>21:15</v>
      </c>
      <c r="Y162" s="58" t="str">
        <f>IF(SUM(AP164:AQ164)=0,"",AP164&amp;":"&amp;AQ164)</f>
        <v>21:12</v>
      </c>
      <c r="Z162" s="249"/>
      <c r="AA162" s="242"/>
      <c r="AB162" s="242"/>
      <c r="AC162" s="243"/>
      <c r="AD162" s="2"/>
      <c r="AE162" s="24"/>
      <c r="AF162" s="24"/>
      <c r="BD162" s="11">
        <f>SUM(BD164:BD166)</f>
        <v>252</v>
      </c>
      <c r="BE162" s="11">
        <f>SUM(BE164:BE166)</f>
        <v>252</v>
      </c>
      <c r="BF162" s="11">
        <f>SUM(BF164:BF166)</f>
        <v>7</v>
      </c>
      <c r="BG162" s="11">
        <f>SUM(BG164:BG166)</f>
        <v>7</v>
      </c>
    </row>
    <row r="163" spans="10:63" ht="11.25" customHeight="1" thickBot="1">
      <c r="J163" s="2"/>
      <c r="K163" s="31"/>
      <c r="L163" s="31"/>
      <c r="N163" s="32"/>
      <c r="O163" s="31"/>
      <c r="P163" s="31"/>
      <c r="Q163" s="247"/>
      <c r="R163" s="247"/>
      <c r="S163" s="248"/>
      <c r="T163" s="249"/>
      <c r="U163" s="231">
        <f>IF(N163&lt;&gt;"",CONCATENATE(VLOOKUP(N163,'[1]zawodnicy'!$A:$E,1,FALSE)," ",VLOOKUP(N163,'[1]zawodnicy'!$A:$E,2,FALSE)," ",VLOOKUP(N163,'[1]zawodnicy'!$A:$E,3,FALSE)," - ",VLOOKUP(N163,'[1]zawodnicy'!$A:$E,4,FALSE)),"")</f>
      </c>
      <c r="V163" s="231"/>
      <c r="W163" s="26"/>
      <c r="X163" s="33">
        <f>IF(SUM(AR166:AS166)=0,"",AR166&amp;":"&amp;AS166)</f>
      </c>
      <c r="Y163" s="68">
        <f>IF(SUM(AR164:AS164)=0,"",AR164&amp;":"&amp;AS164)</f>
      </c>
      <c r="Z163" s="249"/>
      <c r="AA163" s="242"/>
      <c r="AB163" s="242"/>
      <c r="AC163" s="243"/>
      <c r="AD163" s="2"/>
      <c r="AE163" s="24"/>
      <c r="AF163" s="24"/>
      <c r="AH163" s="239" t="s">
        <v>12</v>
      </c>
      <c r="AI163" s="239"/>
      <c r="AJ163" s="240" t="s">
        <v>13</v>
      </c>
      <c r="AK163" s="240"/>
      <c r="AL163" s="241" t="s">
        <v>14</v>
      </c>
      <c r="AM163" s="241"/>
      <c r="AN163" s="239" t="s">
        <v>12</v>
      </c>
      <c r="AO163" s="239"/>
      <c r="AP163" s="240" t="s">
        <v>13</v>
      </c>
      <c r="AQ163" s="240"/>
      <c r="AR163" s="240" t="s">
        <v>14</v>
      </c>
      <c r="AS163" s="240"/>
      <c r="AT163" s="24"/>
      <c r="AU163" s="24"/>
      <c r="AV163" s="239">
        <v>1</v>
      </c>
      <c r="AW163" s="239"/>
      <c r="AX163" s="240">
        <v>2</v>
      </c>
      <c r="AY163" s="240"/>
      <c r="AZ163" s="241">
        <v>3</v>
      </c>
      <c r="BA163" s="241"/>
      <c r="BD163" s="235" t="s">
        <v>3</v>
      </c>
      <c r="BE163" s="235"/>
      <c r="BF163" s="235" t="s">
        <v>4</v>
      </c>
      <c r="BG163" s="235"/>
      <c r="BH163" s="235" t="s">
        <v>5</v>
      </c>
      <c r="BI163" s="235"/>
      <c r="BJ163" s="35" t="s">
        <v>6</v>
      </c>
      <c r="BK163" s="12">
        <f>SUM(BK164:BK166)</f>
        <v>-9.020562075079397E-17</v>
      </c>
    </row>
    <row r="164" spans="1:63" ht="11.25" customHeight="1">
      <c r="A164" s="11">
        <f>S164</f>
        <v>49</v>
      </c>
      <c r="B164" s="2" t="str">
        <f>IF(N162="","",N162)</f>
        <v>K0003</v>
      </c>
      <c r="C164" s="2">
        <f>IF(N163="","",N163)</f>
      </c>
      <c r="D164" s="2" t="str">
        <f>IF(N168="","",N168)</f>
        <v>K0038</v>
      </c>
      <c r="E164" s="2">
        <f>IF(N169="","",N169)</f>
      </c>
      <c r="I164" s="2" t="str">
        <f>"2"&amp;O160&amp;N161</f>
        <v>21Old Boys</v>
      </c>
      <c r="J164" s="2" t="str">
        <f>IF(AC164="","",IF(AC161=2,N162,IF(AC164=2,N165,IF(AC167=2,N168,""))))</f>
        <v>K0038</v>
      </c>
      <c r="K164" s="2">
        <f>IF(AC164="","",IF(AC161=2,N163,IF(AC164=2,N166,IF(AC167=2,N169,""))))</f>
        <v>0</v>
      </c>
      <c r="M164" s="2" t="str">
        <f>N161</f>
        <v>Old Boys</v>
      </c>
      <c r="O164" s="31"/>
      <c r="P164" s="31"/>
      <c r="Q164" s="36">
        <f>IF(AT164&gt;0,"",IF(A164=0,"",IF(VLOOKUP(A164,'[1]plan_gier'!A:S,19,FALSE)="","",VLOOKUP(A164,'[1]plan_gier'!A:S,19,FALSE))))</f>
      </c>
      <c r="R164" s="37" t="s">
        <v>15</v>
      </c>
      <c r="S164" s="84">
        <v>49</v>
      </c>
      <c r="T164" s="236">
        <v>2</v>
      </c>
      <c r="U164" s="233">
        <f>IF(AND(N165&lt;&gt;"",N166&lt;&gt;""),CONCATENATE(VLOOKUP(N165,'[1]zawodnicy'!$A:$E,1,FALSE)," ",VLOOKUP(N165,'[1]zawodnicy'!$A:$E,2,FALSE)," ",VLOOKUP(N165,'[1]zawodnicy'!$A:$E,3,FALSE)," - ",VLOOKUP(N165,'[1]zawodnicy'!$A:$E,4,FALSE)),"")</f>
      </c>
      <c r="V164" s="233"/>
      <c r="W164" s="39" t="str">
        <f>IF(SUM(AN166:AO166)=0,"",AO166&amp;":"&amp;AN166)</f>
        <v>12:21</v>
      </c>
      <c r="X164" s="72"/>
      <c r="Y164" s="42" t="str">
        <f>IF(SUM(AN165:AO165)=0,"",AN165&amp;":"&amp;AO165)</f>
        <v>15:21</v>
      </c>
      <c r="Z164" s="236" t="str">
        <f>IF(SUM(AV165:AW165,AZ165:BA165)=0,"",BD165&amp;":"&amp;BE165)</f>
        <v>81:103</v>
      </c>
      <c r="AA164" s="237" t="str">
        <f>IF(SUM(AV165:AW165,AZ165:BA165)=0,"",BF165&amp;":"&amp;BG165)</f>
        <v>1:4</v>
      </c>
      <c r="AB164" s="237" t="str">
        <f>IF(SUM(AV165:AW165,AZ165:BA165)=0,"",BH165&amp;":"&amp;BI165)</f>
        <v>0:2</v>
      </c>
      <c r="AC164" s="238">
        <f>IF(SUM(BH164:BH166)&gt;0,BJ165,"")</f>
        <v>3</v>
      </c>
      <c r="AD164" s="2"/>
      <c r="AE164" s="24"/>
      <c r="AF164" s="24"/>
      <c r="AG164" s="37" t="s">
        <v>15</v>
      </c>
      <c r="AH164" s="45">
        <f>IF(ISBLANK(S164),"",VLOOKUP(S164,'[1]plan_gier'!$X:$AN,12,FALSE))</f>
        <v>21</v>
      </c>
      <c r="AI164" s="46">
        <f>IF(ISBLANK(S164),"",VLOOKUP(S164,'[1]plan_gier'!$X:$AN,13,FALSE))</f>
        <v>14</v>
      </c>
      <c r="AJ164" s="46">
        <f>IF(ISBLANK(S164),"",VLOOKUP(S164,'[1]plan_gier'!$X:$AN,14,FALSE))</f>
        <v>21</v>
      </c>
      <c r="AK164" s="46">
        <f>IF(ISBLANK(S164),"",VLOOKUP(S164,'[1]plan_gier'!$X:$AN,15,FALSE))</f>
        <v>12</v>
      </c>
      <c r="AL164" s="46">
        <f>IF(ISBLANK(S164),"",VLOOKUP(S164,'[1]plan_gier'!$X:$AN,16,FALSE))</f>
        <v>0</v>
      </c>
      <c r="AM164" s="46">
        <f>IF(ISBLANK(S164),"",VLOOKUP(S164,'[1]plan_gier'!$X:$AN,17,FALSE))</f>
        <v>0</v>
      </c>
      <c r="AN164" s="94">
        <f aca="true" t="shared" si="22" ref="AN164:AS166">IF(AH164="",0,AH164)</f>
        <v>21</v>
      </c>
      <c r="AO164" s="44">
        <f t="shared" si="22"/>
        <v>14</v>
      </c>
      <c r="AP164" s="95">
        <f t="shared" si="22"/>
        <v>21</v>
      </c>
      <c r="AQ164" s="44">
        <f t="shared" si="22"/>
        <v>12</v>
      </c>
      <c r="AR164" s="95">
        <f t="shared" si="22"/>
        <v>0</v>
      </c>
      <c r="AS164" s="44">
        <f t="shared" si="22"/>
        <v>0</v>
      </c>
      <c r="AT164" s="48">
        <f>SUM(AN164:AS164)</f>
        <v>68</v>
      </c>
      <c r="AU164" s="49">
        <v>1</v>
      </c>
      <c r="AV164" s="96"/>
      <c r="AW164" s="97"/>
      <c r="AX164" s="46">
        <f>IF(AH166&gt;AI166,1,0)+IF(AJ166&gt;AK166,1,0)+IF(AL166&gt;AM166,1,0)</f>
        <v>2</v>
      </c>
      <c r="AY164" s="46">
        <f>AV165</f>
        <v>0</v>
      </c>
      <c r="AZ164" s="46">
        <f>IF(AH164&gt;AI164,1,0)+IF(AJ164&gt;AK164,1,0)+IF(AL164&gt;AM164,1,0)</f>
        <v>2</v>
      </c>
      <c r="BA164" s="47">
        <f>AV166</f>
        <v>0</v>
      </c>
      <c r="BD164" s="45">
        <f>AN164+AP164+AR164+AN166+AP166+AR166</f>
        <v>84</v>
      </c>
      <c r="BE164" s="47">
        <f>AO164+AQ164+AS164+AO166+AQ166+AS166</f>
        <v>53</v>
      </c>
      <c r="BF164" s="45">
        <f>AX164+AZ164</f>
        <v>4</v>
      </c>
      <c r="BG164" s="47">
        <f>AY164+BA164</f>
        <v>0</v>
      </c>
      <c r="BH164" s="45">
        <f>IF(AX164&gt;AY164,1,0)+IF(AZ164&gt;BA164,1,0)</f>
        <v>2</v>
      </c>
      <c r="BI164" s="51">
        <f>IF(AY164&gt;AX164,1,0)+IF(BA164&gt;AZ164,1,0)</f>
        <v>0</v>
      </c>
      <c r="BJ164" s="98">
        <f>IF(BH164+BI164=0,"",IF(BK164=MAX(BK164:BK166),1,IF(BK164=MIN(BK164:BK166),3,2)))</f>
        <v>1</v>
      </c>
      <c r="BK164" s="12">
        <f>IF(BH164+BI164&lt;&gt;0,BH164-BI164+(BF164-BG164)/100+(BD164-BE164)/10000,-2)</f>
        <v>2.0431</v>
      </c>
    </row>
    <row r="165" spans="1:63" ht="11.25" customHeight="1">
      <c r="A165" s="11">
        <f>S165</f>
        <v>50</v>
      </c>
      <c r="B165" s="2" t="str">
        <f>IF(N165="","",N165)</f>
        <v>O0001</v>
      </c>
      <c r="C165" s="2">
        <f>IF(N166="","",N166)</f>
      </c>
      <c r="D165" s="2" t="str">
        <f>IF(N168="","",N168)</f>
        <v>K0038</v>
      </c>
      <c r="E165" s="2">
        <f>IF(N169="","",N169)</f>
      </c>
      <c r="J165" s="2"/>
      <c r="K165" s="11"/>
      <c r="M165" s="2" t="str">
        <f>N161</f>
        <v>Old Boys</v>
      </c>
      <c r="N165" s="29" t="s">
        <v>68</v>
      </c>
      <c r="O165" s="30">
        <f>IF(O160&gt;0,(O160&amp;2)*1,"")</f>
        <v>12</v>
      </c>
      <c r="Q165" s="36">
        <f>IF(AT165&gt;0,"",IF(A165=0,"",IF(VLOOKUP(A165,'[1]plan_gier'!A:S,19,FALSE)="","",VLOOKUP(A165,'[1]plan_gier'!A:S,19,FALSE))))</f>
      </c>
      <c r="R165" s="37" t="s">
        <v>19</v>
      </c>
      <c r="S165" s="84">
        <v>50</v>
      </c>
      <c r="T165" s="236"/>
      <c r="U165" s="228" t="str">
        <f>IF(AND(N165&lt;&gt;"",N166=""),CONCATENATE(VLOOKUP(N165,'[1]zawodnicy'!$A:$E,1,FALSE)," ",VLOOKUP(N165,'[1]zawodnicy'!$A:$E,2,FALSE)," ",VLOOKUP(N165,'[1]zawodnicy'!$A:$E,3,FALSE)," - ",VLOOKUP(N165,'[1]zawodnicy'!$A:$E,4,FALSE)),"")</f>
        <v>O0001 Krzysztof OSTROWSKI - Mielec</v>
      </c>
      <c r="V165" s="228"/>
      <c r="W165" s="56" t="str">
        <f>IF(SUM(AP166:AQ166)=0,"",AQ166&amp;":"&amp;AP166)</f>
        <v>15:21</v>
      </c>
      <c r="X165" s="82"/>
      <c r="Y165" s="58" t="str">
        <f>IF(SUM(AP165:AQ165)=0,"",AP165&amp;":"&amp;AQ165)</f>
        <v>21:19</v>
      </c>
      <c r="Z165" s="236"/>
      <c r="AA165" s="237"/>
      <c r="AB165" s="237"/>
      <c r="AC165" s="238"/>
      <c r="AD165" s="2"/>
      <c r="AE165" s="24"/>
      <c r="AF165" s="24"/>
      <c r="AG165" s="37" t="s">
        <v>19</v>
      </c>
      <c r="AH165" s="59">
        <f>IF(ISBLANK(S165),"",VLOOKUP(S165,'[1]plan_gier'!$X:$AN,12,FALSE))</f>
        <v>15</v>
      </c>
      <c r="AI165" s="60">
        <f>IF(ISBLANK(S165),"",VLOOKUP(S165,'[1]plan_gier'!$X:$AN,13,FALSE))</f>
        <v>21</v>
      </c>
      <c r="AJ165" s="60">
        <f>IF(ISBLANK(S165),"",VLOOKUP(S165,'[1]plan_gier'!$X:$AN,14,FALSE))</f>
        <v>21</v>
      </c>
      <c r="AK165" s="60">
        <f>IF(ISBLANK(S165),"",VLOOKUP(S165,'[1]plan_gier'!$X:$AN,15,FALSE))</f>
        <v>19</v>
      </c>
      <c r="AL165" s="60">
        <f>IF(ISBLANK(S165),"",VLOOKUP(S165,'[1]plan_gier'!$X:$AN,16,FALSE))</f>
        <v>18</v>
      </c>
      <c r="AM165" s="60">
        <f>IF(ISBLANK(S165),"",VLOOKUP(S165,'[1]plan_gier'!$X:$AN,17,FALSE))</f>
        <v>21</v>
      </c>
      <c r="AN165" s="99">
        <f t="shared" si="22"/>
        <v>15</v>
      </c>
      <c r="AO165" s="60">
        <f t="shared" si="22"/>
        <v>21</v>
      </c>
      <c r="AP165" s="100">
        <f t="shared" si="22"/>
        <v>21</v>
      </c>
      <c r="AQ165" s="60">
        <f t="shared" si="22"/>
        <v>19</v>
      </c>
      <c r="AR165" s="100">
        <f t="shared" si="22"/>
        <v>18</v>
      </c>
      <c r="AS165" s="60">
        <f t="shared" si="22"/>
        <v>21</v>
      </c>
      <c r="AT165" s="48">
        <f>SUM(AN165:AS165)</f>
        <v>115</v>
      </c>
      <c r="AU165" s="49">
        <v>2</v>
      </c>
      <c r="AV165" s="59">
        <f>IF(AH166&lt;AI166,1,0)+IF(AJ166&lt;AK166,1,0)+IF(AL166&lt;AM166,1,0)</f>
        <v>0</v>
      </c>
      <c r="AW165" s="60">
        <f>AX164</f>
        <v>2</v>
      </c>
      <c r="AX165" s="101"/>
      <c r="AY165" s="102"/>
      <c r="AZ165" s="60">
        <f>IF(AH165&gt;AI165,1,0)+IF(AJ165&gt;AK165,1,0)+IF(AL165&gt;AM165,1,0)</f>
        <v>1</v>
      </c>
      <c r="BA165" s="61">
        <f>AX166</f>
        <v>2</v>
      </c>
      <c r="BD165" s="59">
        <f>AN165+AP165+AR165+AO166+AQ166+AS166</f>
        <v>81</v>
      </c>
      <c r="BE165" s="61">
        <f>AO165+AQ165+AS165+AN166+AP166+AR166</f>
        <v>103</v>
      </c>
      <c r="BF165" s="59">
        <f>AV165+AZ165</f>
        <v>1</v>
      </c>
      <c r="BG165" s="61">
        <f>AW165+BA165</f>
        <v>4</v>
      </c>
      <c r="BH165" s="59">
        <f>IF(AV165&gt;AW165,1,0)+IF(AZ165&gt;BA165,1,0)</f>
        <v>0</v>
      </c>
      <c r="BI165" s="65">
        <f>IF(AW165&gt;AV165,1,0)+IF(BA165&gt;AZ165,1,0)</f>
        <v>2</v>
      </c>
      <c r="BJ165" s="66">
        <f>IF(BH165+BI165=0,"",IF(BK165=MAX(BK164:BK166),1,IF(BK165=MIN(BK164:BK166),3,2)))</f>
        <v>3</v>
      </c>
      <c r="BK165" s="12">
        <f>IF(BH165+BI165&lt;&gt;0,BH165-BI165+(BF165-BG165)/100+(BD165-BE165)/10000,-2)</f>
        <v>-2.0322</v>
      </c>
    </row>
    <row r="166" spans="1:63" ht="11.25" customHeight="1" thickBot="1">
      <c r="A166" s="11">
        <f>S166</f>
        <v>51</v>
      </c>
      <c r="B166" s="2" t="str">
        <f>IF(N162="","",N162)</f>
        <v>K0003</v>
      </c>
      <c r="C166" s="2">
        <f>IF(N163="","",N163)</f>
      </c>
      <c r="D166" s="2" t="str">
        <f>IF(N165="","",N165)</f>
        <v>O0001</v>
      </c>
      <c r="E166" s="2">
        <f>IF(N166="","",N166)</f>
      </c>
      <c r="I166" s="2" t="str">
        <f>"3"&amp;O160&amp;N161</f>
        <v>31Old Boys</v>
      </c>
      <c r="J166" s="2" t="str">
        <f>IF(AC167="","",IF(AC161=3,N162,IF(AC164=3,N165,IF(AC167=3,N168,""))))</f>
        <v>O0001</v>
      </c>
      <c r="K166" s="2">
        <f>IF(AC167="","",IF(AC161=3,N163,IF(AC164=3,N166,IF(AC167=3,N169,""))))</f>
        <v>0</v>
      </c>
      <c r="M166" s="2" t="str">
        <f>N161</f>
        <v>Old Boys</v>
      </c>
      <c r="N166" s="32"/>
      <c r="O166" s="31"/>
      <c r="P166" s="31"/>
      <c r="Q166" s="36">
        <f>IF(AT166&gt;0,"",IF(A166=0,"",IF(VLOOKUP(A166,'[1]plan_gier'!A:S,19,FALSE)="","",VLOOKUP(A166,'[1]plan_gier'!A:S,19,FALSE))))</f>
      </c>
      <c r="R166" s="37" t="s">
        <v>22</v>
      </c>
      <c r="S166" s="84">
        <v>51</v>
      </c>
      <c r="T166" s="236"/>
      <c r="U166" s="231">
        <f>IF(N166&lt;&gt;"",CONCATENATE(VLOOKUP(N166,'[1]zawodnicy'!$A:$E,1,FALSE)," ",VLOOKUP(N166,'[1]zawodnicy'!$A:$E,2,FALSE)," ",VLOOKUP(N166,'[1]zawodnicy'!$A:$E,3,FALSE)," - ",VLOOKUP(N166,'[1]zawodnicy'!$A:$E,4,FALSE)),"")</f>
      </c>
      <c r="V166" s="231"/>
      <c r="W166" s="67">
        <f>IF(SUM(AR166:AS166)=0,"",AS166&amp;":"&amp;AR166)</f>
      </c>
      <c r="X166" s="82"/>
      <c r="Y166" s="68" t="str">
        <f>IF(SUM(AR165:AS165)=0,"",AR165&amp;":"&amp;AS165)</f>
        <v>18:21</v>
      </c>
      <c r="Z166" s="236"/>
      <c r="AA166" s="237"/>
      <c r="AB166" s="237"/>
      <c r="AC166" s="238"/>
      <c r="AD166" s="2"/>
      <c r="AE166" s="24"/>
      <c r="AF166" s="24"/>
      <c r="AG166" s="37" t="s">
        <v>22</v>
      </c>
      <c r="AH166" s="78">
        <f>IF(ISBLANK(S166),"",VLOOKUP(S166,'[1]plan_gier'!$X:$AN,12,FALSE))</f>
        <v>21</v>
      </c>
      <c r="AI166" s="75">
        <f>IF(ISBLANK(S166),"",VLOOKUP(S166,'[1]plan_gier'!$X:$AN,13,FALSE))</f>
        <v>12</v>
      </c>
      <c r="AJ166" s="75">
        <f>IF(ISBLANK(S166),"",VLOOKUP(S166,'[1]plan_gier'!$X:$AN,14,FALSE))</f>
        <v>21</v>
      </c>
      <c r="AK166" s="75">
        <f>IF(ISBLANK(S166),"",VLOOKUP(S166,'[1]plan_gier'!$X:$AN,15,FALSE))</f>
        <v>15</v>
      </c>
      <c r="AL166" s="75">
        <f>IF(ISBLANK(S166),"",VLOOKUP(S166,'[1]plan_gier'!$X:$AN,16,FALSE))</f>
        <v>0</v>
      </c>
      <c r="AM166" s="75">
        <f>IF(ISBLANK(S166),"",VLOOKUP(S166,'[1]plan_gier'!$X:$AN,17,FALSE))</f>
        <v>0</v>
      </c>
      <c r="AN166" s="103">
        <f t="shared" si="22"/>
        <v>21</v>
      </c>
      <c r="AO166" s="75">
        <f t="shared" si="22"/>
        <v>12</v>
      </c>
      <c r="AP166" s="104">
        <f t="shared" si="22"/>
        <v>21</v>
      </c>
      <c r="AQ166" s="75">
        <f t="shared" si="22"/>
        <v>15</v>
      </c>
      <c r="AR166" s="104">
        <f t="shared" si="22"/>
        <v>0</v>
      </c>
      <c r="AS166" s="75">
        <f t="shared" si="22"/>
        <v>0</v>
      </c>
      <c r="AT166" s="48">
        <f>SUM(AN166:AS166)</f>
        <v>69</v>
      </c>
      <c r="AU166" s="49">
        <v>3</v>
      </c>
      <c r="AV166" s="78">
        <f>IF(AH164&lt;AI164,1,0)+IF(AJ164&lt;AK164,1,0)+IF(AL164&lt;AM164,1,0)</f>
        <v>0</v>
      </c>
      <c r="AW166" s="75">
        <f>AZ164</f>
        <v>2</v>
      </c>
      <c r="AX166" s="75">
        <f>IF(AH165&lt;AI165,1,0)+IF(AJ165&lt;AK165,1,0)+IF(AL165&lt;AM165,1,0)</f>
        <v>2</v>
      </c>
      <c r="AY166" s="75">
        <f>AZ165</f>
        <v>1</v>
      </c>
      <c r="AZ166" s="105"/>
      <c r="BA166" s="106"/>
      <c r="BD166" s="78">
        <f>AO164+AQ164+AS164+AO165+AQ165+AS165</f>
        <v>87</v>
      </c>
      <c r="BE166" s="80">
        <f>AN164+AP164+AR164+AN165+AP165+AR165</f>
        <v>96</v>
      </c>
      <c r="BF166" s="78">
        <f>AV166+AX166</f>
        <v>2</v>
      </c>
      <c r="BG166" s="80">
        <f>AW166+AY166</f>
        <v>3</v>
      </c>
      <c r="BH166" s="78">
        <f>IF(AV166&gt;AW166,1,0)+IF(AX166&gt;AY166,1,0)</f>
        <v>1</v>
      </c>
      <c r="BI166" s="79">
        <f>IF(AW166&gt;AV166,1,0)+IF(AY166&gt;AX166,1,0)</f>
        <v>1</v>
      </c>
      <c r="BJ166" s="81">
        <f>IF(BH166+BI166=0,"",IF(BK166=MAX(BK164:BK166),1,IF(BK166=MIN(BK164:BK166),3,2)))</f>
        <v>2</v>
      </c>
      <c r="BK166" s="12">
        <f>IF(BH166+BI166&lt;&gt;0,BH166-BI166+(BF166-BG166)/100+(BD166-BE166)/10000,-2)</f>
        <v>-0.0109</v>
      </c>
    </row>
    <row r="167" spans="1:59" ht="11.25" customHeight="1" thickBot="1">
      <c r="A167" s="2"/>
      <c r="J167" s="31"/>
      <c r="K167" s="31"/>
      <c r="L167" s="31"/>
      <c r="O167" s="31"/>
      <c r="P167" s="31"/>
      <c r="Q167" s="2"/>
      <c r="R167" s="2"/>
      <c r="S167" s="2"/>
      <c r="T167" s="232">
        <v>3</v>
      </c>
      <c r="U167" s="233">
        <f>IF(AND(N168&lt;&gt;"",N169&lt;&gt;""),CONCATENATE(VLOOKUP(N168,'[1]zawodnicy'!$A:$E,1,FALSE)," ",VLOOKUP(N168,'[1]zawodnicy'!$A:$E,2,FALSE)," ",VLOOKUP(N168,'[1]zawodnicy'!$A:$E,3,FALSE)," - ",VLOOKUP(N168,'[1]zawodnicy'!$A:$E,4,FALSE)),"")</f>
      </c>
      <c r="V167" s="233"/>
      <c r="W167" s="39" t="str">
        <f>IF(SUM(AN164:AO164)=0,"",AO164&amp;":"&amp;AN164)</f>
        <v>14:21</v>
      </c>
      <c r="X167" s="41" t="str">
        <f>IF(SUM(AN165:AO165)=0,"",AO165&amp;":"&amp;AN165)</f>
        <v>21:15</v>
      </c>
      <c r="Y167" s="107"/>
      <c r="Z167" s="232" t="str">
        <f>IF(SUM(AV166:AY166)=0,"",BD166&amp;":"&amp;BE166)</f>
        <v>87:96</v>
      </c>
      <c r="AA167" s="234" t="str">
        <f>IF(SUM(AV166:AY166)=0,"",BF166&amp;":"&amp;BG166)</f>
        <v>2:3</v>
      </c>
      <c r="AB167" s="234" t="str">
        <f>IF(SUM(AV166:AY166)=0,"",BH166&amp;":"&amp;BI166)</f>
        <v>1:1</v>
      </c>
      <c r="AC167" s="227">
        <f>IF(SUM(BH164:BH166)&gt;0,BJ166,"")</f>
        <v>2</v>
      </c>
      <c r="AD167" s="2"/>
      <c r="AE167" s="24"/>
      <c r="AF167" s="24"/>
      <c r="BD167" s="11">
        <f>SUM(BD164:BD166)</f>
        <v>252</v>
      </c>
      <c r="BE167" s="11">
        <f>SUM(BE164:BE166)</f>
        <v>252</v>
      </c>
      <c r="BF167" s="11">
        <f>SUM(BF164:BF166)</f>
        <v>7</v>
      </c>
      <c r="BG167" s="11">
        <f>SUM(BG164:BG166)</f>
        <v>7</v>
      </c>
    </row>
    <row r="168" spans="1:63" ht="11.25" customHeight="1" thickBot="1">
      <c r="A168" s="11"/>
      <c r="J168" s="11"/>
      <c r="K168" s="11"/>
      <c r="L168" s="11"/>
      <c r="N168" s="29" t="s">
        <v>52</v>
      </c>
      <c r="O168" s="30">
        <f>IF(O160&gt;0,(O160&amp;3)*1,"")</f>
        <v>13</v>
      </c>
      <c r="Q168" s="10"/>
      <c r="R168" s="10"/>
      <c r="S168" s="84"/>
      <c r="T168" s="232"/>
      <c r="U168" s="228" t="str">
        <f>IF(AND(N168&lt;&gt;"",N169=""),CONCATENATE(VLOOKUP(N168,'[1]zawodnicy'!$A:$E,1,FALSE)," ",VLOOKUP(N168,'[1]zawodnicy'!$A:$E,2,FALSE)," ",VLOOKUP(N168,'[1]zawodnicy'!$A:$E,3,FALSE)," - ",VLOOKUP(N168,'[1]zawodnicy'!$A:$E,4,FALSE)),"")</f>
        <v>K0038 Wojciech KWOLEK - Mielec</v>
      </c>
      <c r="V168" s="228"/>
      <c r="W168" s="56" t="str">
        <f>IF(SUM(AP164:AQ164)=0,"",AQ164&amp;":"&amp;AP164)</f>
        <v>12:21</v>
      </c>
      <c r="X168" s="27" t="str">
        <f>IF(SUM(AP165:AQ165)=0,"",AQ165&amp;":"&amp;AP165)</f>
        <v>19:21</v>
      </c>
      <c r="Y168" s="108"/>
      <c r="Z168" s="232"/>
      <c r="AA168" s="234"/>
      <c r="AB168" s="234"/>
      <c r="AC168" s="227"/>
      <c r="AD168" s="2"/>
      <c r="AE168" s="24"/>
      <c r="AF168" s="24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1:63" ht="11.25" customHeight="1" thickBot="1">
      <c r="A169" s="2"/>
      <c r="J169" s="31"/>
      <c r="K169" s="31"/>
      <c r="L169" s="31"/>
      <c r="N169" s="32"/>
      <c r="O169" s="31"/>
      <c r="P169" s="31"/>
      <c r="Q169" s="2"/>
      <c r="R169" s="2"/>
      <c r="S169" s="2"/>
      <c r="T169" s="232"/>
      <c r="U169" s="229">
        <f>IF(N169&lt;&gt;"",CONCATENATE(VLOOKUP(N169,'[1]zawodnicy'!$A:$E,1,FALSE)," ",VLOOKUP(N169,'[1]zawodnicy'!$A:$E,2,FALSE)," ",VLOOKUP(N169,'[1]zawodnicy'!$A:$E,3,FALSE)," - ",VLOOKUP(N169,'[1]zawodnicy'!$A:$E,4,FALSE)),"")</f>
      </c>
      <c r="V169" s="229"/>
      <c r="W169" s="86">
        <f>IF(SUM(AR164:AS164)=0,"",AS164&amp;":"&amp;AR164)</f>
      </c>
      <c r="X169" s="87" t="str">
        <f>IF(SUM(AR165:AS165)=0,"",AS165&amp;":"&amp;AR165)</f>
        <v>21:18</v>
      </c>
      <c r="Y169" s="88"/>
      <c r="Z169" s="232"/>
      <c r="AA169" s="234"/>
      <c r="AB169" s="234"/>
      <c r="AC169" s="227"/>
      <c r="AD169" s="2"/>
      <c r="AE169" s="24"/>
      <c r="AF169" s="24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ht="11.25" customHeight="1"/>
    <row r="171" spans="13:31" ht="11.25" customHeight="1">
      <c r="M171" s="8"/>
      <c r="N171" s="9" t="s">
        <v>69</v>
      </c>
      <c r="Q171" s="245" t="str">
        <f>"Gra "&amp;N171</f>
        <v>Gra Open</v>
      </c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</row>
    <row r="172" ht="11.25" customHeight="1" thickBot="1"/>
    <row r="173" spans="14:45" ht="11.25" customHeight="1" thickBot="1">
      <c r="N173" s="13"/>
      <c r="O173" s="14">
        <v>1</v>
      </c>
      <c r="Q173" s="245" t="str">
        <f>"Grupa "&amp;O173&amp;"."</f>
        <v>Grupa 1.</v>
      </c>
      <c r="R173" s="245"/>
      <c r="S173" s="245"/>
      <c r="T173" s="15" t="s">
        <v>1</v>
      </c>
      <c r="U173" s="246" t="s">
        <v>2</v>
      </c>
      <c r="V173" s="246"/>
      <c r="W173" s="15">
        <v>1</v>
      </c>
      <c r="X173" s="17">
        <v>2</v>
      </c>
      <c r="Y173" s="18">
        <v>3</v>
      </c>
      <c r="Z173" s="19">
        <v>4</v>
      </c>
      <c r="AA173" s="20" t="s">
        <v>3</v>
      </c>
      <c r="AB173" s="21" t="s">
        <v>4</v>
      </c>
      <c r="AC173" s="22" t="s">
        <v>5</v>
      </c>
      <c r="AD173" s="23" t="s">
        <v>6</v>
      </c>
      <c r="AE173" s="24"/>
      <c r="AF173" s="24"/>
      <c r="AH173" s="244" t="s">
        <v>7</v>
      </c>
      <c r="AI173" s="244"/>
      <c r="AJ173" s="244"/>
      <c r="AK173" s="244"/>
      <c r="AL173" s="244"/>
      <c r="AM173" s="244"/>
      <c r="AN173" s="244" t="s">
        <v>8</v>
      </c>
      <c r="AO173" s="244"/>
      <c r="AP173" s="244"/>
      <c r="AQ173" s="244"/>
      <c r="AR173" s="244"/>
      <c r="AS173" s="244"/>
    </row>
    <row r="174" spans="14:32" ht="11.25" customHeight="1" thickBot="1">
      <c r="N174" s="25" t="s">
        <v>69</v>
      </c>
      <c r="Q174" s="247" t="s">
        <v>9</v>
      </c>
      <c r="R174" s="247"/>
      <c r="S174" s="248" t="s">
        <v>10</v>
      </c>
      <c r="T174" s="249">
        <v>1</v>
      </c>
      <c r="U174" s="250">
        <f>IF(AND(N175&lt;&gt;"",N176&lt;&gt;""),CONCATENATE(VLOOKUP(N175,'[1]zawodnicy'!$A:$E,1,FALSE)," ",VLOOKUP(N175,'[1]zawodnicy'!$A:$E,2,FALSE)," ",VLOOKUP(N175,'[1]zawodnicy'!$A:$E,3,FALSE)," - ",VLOOKUP(N175,'[1]zawodnicy'!$A:$E,4,FALSE)),"")</f>
      </c>
      <c r="V174" s="250"/>
      <c r="W174" s="26"/>
      <c r="X174" s="27" t="str">
        <f>IF(SUM(AN182:AO182)=0,"",AN182&amp;":"&amp;AO182)</f>
        <v>10:21</v>
      </c>
      <c r="Y174" s="27" t="str">
        <f>IF(SUM(AN177:AO177)=0,"",AN177&amp;":"&amp;AO177)</f>
        <v>21:4</v>
      </c>
      <c r="Z174" s="28" t="str">
        <f>IF(SUM(AN179:AO179)=0,"",AN179&amp;":"&amp;AO179)</f>
        <v>13:21</v>
      </c>
      <c r="AA174" s="249" t="str">
        <f>IF(SUM(AX177:BC177)=0,"",BD177&amp;":"&amp;BE177)</f>
        <v>111:115</v>
      </c>
      <c r="AB174" s="242" t="str">
        <f>IF(SUM(AX177:BC177)=0,"",BF177&amp;":"&amp;BG177)</f>
        <v>2:4</v>
      </c>
      <c r="AC174" s="242" t="str">
        <f>IF(SUM(AX177:BC177)=0,"",BH177&amp;":"&amp;BI177)</f>
        <v>1:2</v>
      </c>
      <c r="AD174" s="243">
        <f>IF(SUM(BH177:BH180)&gt;0,BJ177,"")</f>
        <v>3</v>
      </c>
      <c r="AE174" s="24"/>
      <c r="AF174" s="24"/>
    </row>
    <row r="175" spans="9:32" ht="11.25" customHeight="1" thickBot="1">
      <c r="I175" s="2" t="str">
        <f>"1"&amp;O173&amp;N174</f>
        <v>11Open</v>
      </c>
      <c r="J175" s="2" t="str">
        <f>IF(AD174="","",IF(AD174=1,N175,IF(AD177=1,N178,IF(AD180=1,N181,IF(AD183=1,N184,"")))))</f>
        <v>K0011</v>
      </c>
      <c r="K175" s="2">
        <f>IF(AD174="","",IF(AD174=1,N176,IF(AD177=1,N179,IF(AD180=1,N182,IF(AD183=1,N185,"")))))</f>
        <v>0</v>
      </c>
      <c r="L175" s="2"/>
      <c r="N175" s="29" t="s">
        <v>70</v>
      </c>
      <c r="O175" s="30">
        <f>IF(O173&gt;0,(O173&amp;1)*1,"")</f>
        <v>11</v>
      </c>
      <c r="Q175" s="247"/>
      <c r="R175" s="247"/>
      <c r="S175" s="248"/>
      <c r="T175" s="249"/>
      <c r="U175" s="228" t="str">
        <f>IF(AND(N175&lt;&gt;"",N176=""),CONCATENATE(VLOOKUP(N175,'[1]zawodnicy'!$A:$E,1,FALSE)," ",VLOOKUP(N175,'[1]zawodnicy'!$A:$E,2,FALSE)," ",VLOOKUP(N175,'[1]zawodnicy'!$A:$E,3,FALSE)," - ",VLOOKUP(N175,'[1]zawodnicy'!$A:$E,4,FALSE)),"")</f>
        <v>I0002 Igor IWAŃSKI - Mielec</v>
      </c>
      <c r="V175" s="228"/>
      <c r="W175" s="26"/>
      <c r="X175" s="27" t="str">
        <f>IF(SUM(AP182:AQ182)=0,"",AP182&amp;":"&amp;AQ182)</f>
        <v>19:21</v>
      </c>
      <c r="Y175" s="27" t="str">
        <f>IF(SUM(AP177:AQ177)=0,"",AP177&amp;":"&amp;AQ177)</f>
        <v>27:25</v>
      </c>
      <c r="Z175" s="28" t="str">
        <f>IF(SUM(AP179:AQ179)=0,"",AP179&amp;":"&amp;AQ179)</f>
        <v>21:23</v>
      </c>
      <c r="AA175" s="249"/>
      <c r="AB175" s="242"/>
      <c r="AC175" s="242"/>
      <c r="AD175" s="243"/>
      <c r="AE175" s="24"/>
      <c r="AF175" s="24"/>
    </row>
    <row r="176" spans="10:62" ht="11.25" customHeight="1" thickBot="1">
      <c r="J176" s="2"/>
      <c r="K176" s="31"/>
      <c r="L176" s="31"/>
      <c r="N176" s="32"/>
      <c r="O176" s="31"/>
      <c r="P176" s="31"/>
      <c r="Q176" s="247"/>
      <c r="R176" s="247"/>
      <c r="S176" s="248"/>
      <c r="T176" s="249"/>
      <c r="U176" s="231">
        <f>IF(N176&lt;&gt;"",CONCATENATE(VLOOKUP(N176,'[1]zawodnicy'!$A:$E,1,FALSE)," ",VLOOKUP(N176,'[1]zawodnicy'!$A:$E,2,FALSE)," ",VLOOKUP(N176,'[1]zawodnicy'!$A:$E,3,FALSE)," - ",VLOOKUP(N176,'[1]zawodnicy'!$A:$E,4,FALSE)),"")</f>
      </c>
      <c r="V176" s="231"/>
      <c r="W176" s="26"/>
      <c r="X176" s="33">
        <f>IF(SUM(AR182:AS182)=0,"",AR182&amp;":"&amp;AS182)</f>
      </c>
      <c r="Y176" s="33">
        <f>IF(SUM(AR177:AS177)=0,"",AR177&amp;":"&amp;AS177)</f>
      </c>
      <c r="Z176" s="34">
        <f>IF(SUM(AR179:AS179)=0,"",AR179&amp;":"&amp;AS179)</f>
      </c>
      <c r="AA176" s="249"/>
      <c r="AB176" s="242"/>
      <c r="AC176" s="242"/>
      <c r="AD176" s="243"/>
      <c r="AE176" s="24"/>
      <c r="AF176" s="24"/>
      <c r="AH176" s="239" t="s">
        <v>12</v>
      </c>
      <c r="AI176" s="239"/>
      <c r="AJ176" s="240" t="s">
        <v>13</v>
      </c>
      <c r="AK176" s="240"/>
      <c r="AL176" s="241" t="s">
        <v>14</v>
      </c>
      <c r="AM176" s="241"/>
      <c r="AN176" s="239" t="s">
        <v>12</v>
      </c>
      <c r="AO176" s="239"/>
      <c r="AP176" s="240" t="s">
        <v>13</v>
      </c>
      <c r="AQ176" s="240"/>
      <c r="AR176" s="241" t="s">
        <v>14</v>
      </c>
      <c r="AS176" s="241"/>
      <c r="AV176" s="239">
        <v>1</v>
      </c>
      <c r="AW176" s="239"/>
      <c r="AX176" s="240">
        <v>2</v>
      </c>
      <c r="AY176" s="240"/>
      <c r="AZ176" s="240">
        <v>3</v>
      </c>
      <c r="BA176" s="240"/>
      <c r="BB176" s="241">
        <v>4</v>
      </c>
      <c r="BC176" s="241"/>
      <c r="BD176" s="235" t="s">
        <v>3</v>
      </c>
      <c r="BE176" s="235"/>
      <c r="BF176" s="235" t="s">
        <v>4</v>
      </c>
      <c r="BG176" s="235"/>
      <c r="BH176" s="235" t="s">
        <v>5</v>
      </c>
      <c r="BI176" s="235"/>
      <c r="BJ176" s="35" t="s">
        <v>6</v>
      </c>
    </row>
    <row r="177" spans="1:63" ht="11.25" customHeight="1">
      <c r="A177" s="11">
        <f aca="true" t="shared" si="23" ref="A177:A182">S177</f>
        <v>52</v>
      </c>
      <c r="B177" s="11" t="str">
        <f>IF(N175="","",N175)</f>
        <v>I0002</v>
      </c>
      <c r="C177" s="11">
        <f>IF(N176="","",N176)</f>
      </c>
      <c r="D177" s="11" t="str">
        <f>IF(N181="","",N181)</f>
        <v>S0020</v>
      </c>
      <c r="E177" s="11">
        <f>IF(N182="","",N182)</f>
      </c>
      <c r="I177" s="2" t="str">
        <f>"2"&amp;O173&amp;N174</f>
        <v>21Open</v>
      </c>
      <c r="J177" s="2" t="str">
        <f>IF(AD177="","",IF(AD174=2,N175,IF(AD177=2,N178,IF(AD180=2,N181,IF(AD183=2,N184,"")))))</f>
        <v>S0030</v>
      </c>
      <c r="K177" s="2">
        <f>IF(AD177="","",IF(AD174=2,N176,IF(AD177=2,N179,IF(AD180=2,N182,IF(AD183=2,N185,"")))))</f>
        <v>0</v>
      </c>
      <c r="L177" s="2"/>
      <c r="M177" s="2" t="str">
        <f>N174</f>
        <v>Open</v>
      </c>
      <c r="O177" s="31"/>
      <c r="P177" s="31"/>
      <c r="Q177" s="36">
        <f>IF(AT177&gt;0,"",IF(A177=0,"",IF(VLOOKUP(A177,'[1]plan_gier'!A:S,19,FALSE)="","",VLOOKUP(A177,'[1]plan_gier'!A:S,19,FALSE))))</f>
      </c>
      <c r="R177" s="37" t="s">
        <v>15</v>
      </c>
      <c r="S177" s="38">
        <v>52</v>
      </c>
      <c r="T177" s="236">
        <v>2</v>
      </c>
      <c r="U177" s="233">
        <f>IF(AND(N178&lt;&gt;"",N179&lt;&gt;""),CONCATENATE(VLOOKUP(N178,'[1]zawodnicy'!$A:$E,1,FALSE)," ",VLOOKUP(N178,'[1]zawodnicy'!$A:$E,2,FALSE)," ",VLOOKUP(N178,'[1]zawodnicy'!$A:$E,3,FALSE)," - ",VLOOKUP(N178,'[1]zawodnicy'!$A:$E,4,FALSE)),"")</f>
      </c>
      <c r="V177" s="233"/>
      <c r="W177" s="39" t="str">
        <f>IF(SUM(AN182:AO182)=0,"",AO182&amp;":"&amp;AN182)</f>
        <v>21:10</v>
      </c>
      <c r="X177" s="40"/>
      <c r="Y177" s="41" t="str">
        <f>IF(SUM(AN180:AO180)=0,"",AN180&amp;":"&amp;AO180)</f>
        <v>21:19</v>
      </c>
      <c r="Z177" s="42" t="str">
        <f>IF(SUM(AN178:AO178)=0,"",AN178&amp;":"&amp;AO178)</f>
        <v>12:21</v>
      </c>
      <c r="AA177" s="236" t="str">
        <f>IF(SUM(AV178:AW178,AZ178:BC178)=0,"",BD178&amp;":"&amp;BE178)</f>
        <v>136:117</v>
      </c>
      <c r="AB177" s="237" t="str">
        <f>IF(SUM(AV178:AW178,AZ178:BC178)=0,"",BF178&amp;":"&amp;BG178)</f>
        <v>5:2</v>
      </c>
      <c r="AC177" s="237" t="str">
        <f>IF(SUM(AV178:AW178,AZ178:BC178)=0,"",BH178&amp;":"&amp;BI178)</f>
        <v>2:1</v>
      </c>
      <c r="AD177" s="238">
        <f>IF(SUM(BH177:BH180)&gt;0,BJ178,"")</f>
        <v>2</v>
      </c>
      <c r="AE177" s="24"/>
      <c r="AF177" s="24"/>
      <c r="AG177" s="37" t="s">
        <v>15</v>
      </c>
      <c r="AH177" s="43">
        <f>IF(ISBLANK(S177),"",VLOOKUP(S177,'[1]plan_gier'!$X:$AN,12,FALSE))</f>
        <v>21</v>
      </c>
      <c r="AI177" s="44">
        <f>IF(ISBLANK(S177),"",VLOOKUP(S177,'[1]plan_gier'!$X:$AN,13,FALSE))</f>
        <v>4</v>
      </c>
      <c r="AJ177" s="44">
        <f>IF(ISBLANK(S177),"",VLOOKUP(S177,'[1]plan_gier'!$X:$AN,14,FALSE))</f>
        <v>27</v>
      </c>
      <c r="AK177" s="44">
        <f>IF(ISBLANK(S177),"",VLOOKUP(S177,'[1]plan_gier'!$X:$AN,15,FALSE))</f>
        <v>25</v>
      </c>
      <c r="AL177" s="44">
        <f>IF(ISBLANK(S177),"",VLOOKUP(S177,'[1]plan_gier'!$X:$AN,16,FALSE))</f>
        <v>0</v>
      </c>
      <c r="AM177" s="44">
        <f>IF(ISBLANK(S177),"",VLOOKUP(S177,'[1]plan_gier'!$X:$AN,17,FALSE))</f>
        <v>0</v>
      </c>
      <c r="AN177" s="45">
        <f aca="true" t="shared" si="24" ref="AN177:AS182">IF(AH177="",0,AH177)</f>
        <v>21</v>
      </c>
      <c r="AO177" s="46">
        <f t="shared" si="24"/>
        <v>4</v>
      </c>
      <c r="AP177" s="46">
        <f t="shared" si="24"/>
        <v>27</v>
      </c>
      <c r="AQ177" s="46">
        <f t="shared" si="24"/>
        <v>25</v>
      </c>
      <c r="AR177" s="46">
        <f t="shared" si="24"/>
        <v>0</v>
      </c>
      <c r="AS177" s="47">
        <f t="shared" si="24"/>
        <v>0</v>
      </c>
      <c r="AT177" s="48">
        <f aca="true" t="shared" si="25" ref="AT177:AT182">SUM(AN177:AS177)</f>
        <v>77</v>
      </c>
      <c r="AU177" s="49">
        <v>1</v>
      </c>
      <c r="AV177" s="251"/>
      <c r="AW177" s="251"/>
      <c r="AX177" s="46">
        <f>IF(AH182&gt;AI182,1,0)+IF(AJ182&gt;AK182,1,0)+IF(AL182&gt;AM182,1,0)</f>
        <v>0</v>
      </c>
      <c r="AY177" s="46">
        <f>AV178</f>
        <v>2</v>
      </c>
      <c r="AZ177" s="46">
        <f>IF(AH177&gt;AI177,1,0)+IF(AJ177&gt;AK177,1,0)+IF(AL177&gt;AM177,1,0)</f>
        <v>2</v>
      </c>
      <c r="BA177" s="44">
        <f>AV179</f>
        <v>0</v>
      </c>
      <c r="BB177" s="50">
        <f>IF(AH179&gt;AI179,1,0)+IF(AJ179&gt;AK179,1,0)+IF(AL179&gt;AM179,1,0)</f>
        <v>0</v>
      </c>
      <c r="BC177" s="51">
        <f>AV180</f>
        <v>2</v>
      </c>
      <c r="BD177" s="43">
        <f>AN177+AP177+AR177+AN179+AP179+AR179+AN182+AP182+AR182</f>
        <v>111</v>
      </c>
      <c r="BE177" s="52">
        <f>AO177+AQ177+AS177+AO179+AQ179+AS179+AO182+AQ182+AS182</f>
        <v>115</v>
      </c>
      <c r="BF177" s="43">
        <f>AX177+AZ177+BB177</f>
        <v>2</v>
      </c>
      <c r="BG177" s="53">
        <f>AY177+BA177+BC177</f>
        <v>4</v>
      </c>
      <c r="BH177" s="43">
        <f>IF(AX177&gt;AY177,1,0)+IF(AZ177&gt;BA177,1,0)+IF(BB177&gt;BC177,1,0)</f>
        <v>1</v>
      </c>
      <c r="BI177" s="53">
        <f>IF(AY177&gt;AX177,1,0)+IF(BA177&gt;AZ177,1,0)+IF(BC177&gt;BB177,1,0)</f>
        <v>2</v>
      </c>
      <c r="BJ177" s="54">
        <f>IF(BH177+BI177=0,"",IF(BK177=MAX(BK177:BK180),1,IF(BK177=LARGE(BK177:BK180,2),2,IF(BK177=MIN(BK177:BK180),4,3))))</f>
        <v>3</v>
      </c>
      <c r="BK177" s="55">
        <f>IF(BH177+BI177&lt;&gt;0,BH177-BI177+(BF177-BG177)/100+(BD177-BE177)/10000,-3)</f>
        <v>-1.0204</v>
      </c>
    </row>
    <row r="178" spans="1:63" ht="11.25" customHeight="1">
      <c r="A178" s="11">
        <f t="shared" si="23"/>
        <v>53</v>
      </c>
      <c r="B178" s="11" t="str">
        <f>IF(N178="","",N178)</f>
        <v>S0030</v>
      </c>
      <c r="C178" s="11">
        <f>IF(N179="","",N179)</f>
      </c>
      <c r="D178" s="11" t="str">
        <f>IF(N184="","",N184)</f>
        <v>K0011</v>
      </c>
      <c r="E178" s="11">
        <f>IF(N185="","",N185)</f>
      </c>
      <c r="J178" s="2"/>
      <c r="K178" s="11"/>
      <c r="L178" s="11"/>
      <c r="M178" s="2" t="str">
        <f>N174</f>
        <v>Open</v>
      </c>
      <c r="N178" s="29" t="s">
        <v>71</v>
      </c>
      <c r="O178" s="30">
        <f>IF(O173&gt;0,(O173&amp;2)*1,"")</f>
        <v>12</v>
      </c>
      <c r="Q178" s="36">
        <f>IF(AT178&gt;0,"",IF(A178=0,"",IF(VLOOKUP(A178,'[1]plan_gier'!A:S,19,FALSE)="","",VLOOKUP(A178,'[1]plan_gier'!A:S,19,FALSE))))</f>
      </c>
      <c r="R178" s="37" t="s">
        <v>17</v>
      </c>
      <c r="S178" s="38">
        <v>53</v>
      </c>
      <c r="T178" s="236"/>
      <c r="U178" s="228" t="str">
        <f>IF(AND(N178&lt;&gt;"",N179=""),CONCATENATE(VLOOKUP(N178,'[1]zawodnicy'!$A:$E,1,FALSE)," ",VLOOKUP(N178,'[1]zawodnicy'!$A:$E,2,FALSE)," ",VLOOKUP(N178,'[1]zawodnicy'!$A:$E,3,FALSE)," - ",VLOOKUP(N178,'[1]zawodnicy'!$A:$E,4,FALSE)),"")</f>
        <v>S0030 Karol SZYMURA - Szczucin</v>
      </c>
      <c r="V178" s="228"/>
      <c r="W178" s="56" t="str">
        <f>IF(SUM(AP182:AQ182)=0,"",AQ182&amp;":"&amp;AP182)</f>
        <v>21:19</v>
      </c>
      <c r="X178" s="57"/>
      <c r="Y178" s="27" t="str">
        <f>IF(SUM(AP180:AQ180)=0,"",AP180&amp;":"&amp;AQ180)</f>
        <v>21:11</v>
      </c>
      <c r="Z178" s="58" t="str">
        <f>IF(SUM(AP178:AQ178)=0,"",AP178&amp;":"&amp;AQ178)</f>
        <v>21:16</v>
      </c>
      <c r="AA178" s="236"/>
      <c r="AB178" s="237"/>
      <c r="AC178" s="237"/>
      <c r="AD178" s="238"/>
      <c r="AE178" s="24"/>
      <c r="AF178" s="24"/>
      <c r="AG178" s="37" t="s">
        <v>17</v>
      </c>
      <c r="AH178" s="45">
        <f>IF(ISBLANK(S178),"",VLOOKUP(S178,'[1]plan_gier'!$X:$AN,12,FALSE))</f>
        <v>12</v>
      </c>
      <c r="AI178" s="46">
        <f>IF(ISBLANK(S178),"",VLOOKUP(S178,'[1]plan_gier'!$X:$AN,13,FALSE))</f>
        <v>21</v>
      </c>
      <c r="AJ178" s="46">
        <f>IF(ISBLANK(S178),"",VLOOKUP(S178,'[1]plan_gier'!$X:$AN,14,FALSE))</f>
        <v>21</v>
      </c>
      <c r="AK178" s="46">
        <f>IF(ISBLANK(S178),"",VLOOKUP(S178,'[1]plan_gier'!$X:$AN,15,FALSE))</f>
        <v>16</v>
      </c>
      <c r="AL178" s="46">
        <f>IF(ISBLANK(S178),"",VLOOKUP(S178,'[1]plan_gier'!$X:$AN,16,FALSE))</f>
        <v>19</v>
      </c>
      <c r="AM178" s="46">
        <f>IF(ISBLANK(S178),"",VLOOKUP(S178,'[1]plan_gier'!$X:$AN,17,FALSE))</f>
        <v>21</v>
      </c>
      <c r="AN178" s="59">
        <f t="shared" si="24"/>
        <v>12</v>
      </c>
      <c r="AO178" s="60">
        <f t="shared" si="24"/>
        <v>21</v>
      </c>
      <c r="AP178" s="60">
        <f t="shared" si="24"/>
        <v>21</v>
      </c>
      <c r="AQ178" s="60">
        <f t="shared" si="24"/>
        <v>16</v>
      </c>
      <c r="AR178" s="60">
        <f t="shared" si="24"/>
        <v>19</v>
      </c>
      <c r="AS178" s="61">
        <f t="shared" si="24"/>
        <v>21</v>
      </c>
      <c r="AT178" s="48">
        <f t="shared" si="25"/>
        <v>110</v>
      </c>
      <c r="AU178" s="49">
        <v>2</v>
      </c>
      <c r="AV178" s="59">
        <f>IF(AH182&lt;AI182,1,0)+IF(AJ182&lt;AK182,1,0)+IF(AL182&lt;AM182,1,0)</f>
        <v>2</v>
      </c>
      <c r="AW178" s="60">
        <f>AX177</f>
        <v>0</v>
      </c>
      <c r="AX178" s="62"/>
      <c r="AY178" s="63"/>
      <c r="AZ178" s="60">
        <f>IF(AH180&gt;AI180,1,0)+IF(AJ180&gt;AK180,1,0)+IF(AL180&gt;AM180,1,0)</f>
        <v>2</v>
      </c>
      <c r="BA178" s="60">
        <f>AX179</f>
        <v>0</v>
      </c>
      <c r="BB178" s="64">
        <f>IF(AH178&gt;AI178,1,0)+IF(AJ178&gt;AK178,1,0)+IF(AL178&gt;AM178,1,0)</f>
        <v>1</v>
      </c>
      <c r="BC178" s="65">
        <f>AX180</f>
        <v>2</v>
      </c>
      <c r="BD178" s="59">
        <f>AN178+AP178+AR178+AN180+AP180+AR180+AO182+AQ182+AS182</f>
        <v>136</v>
      </c>
      <c r="BE178" s="65">
        <f>AO178+AQ178+AS178+AO180+AQ180+AS180+AN182+AP182+AR182</f>
        <v>117</v>
      </c>
      <c r="BF178" s="59">
        <f>AV178+AZ178+BB178</f>
        <v>5</v>
      </c>
      <c r="BG178" s="61">
        <f>AW178+BA178+BC178</f>
        <v>2</v>
      </c>
      <c r="BH178" s="59">
        <f>IF(AV178&gt;AW178,1,0)+IF(AZ178&gt;BA178,1,0)+IF(BB178&gt;BC178,1,0)</f>
        <v>2</v>
      </c>
      <c r="BI178" s="61">
        <f>IF(AW178&gt;AV178,1,0)+IF(BA178&gt;AZ178,1,0)+IF(BC178&gt;BB178,1,0)</f>
        <v>1</v>
      </c>
      <c r="BJ178" s="66">
        <f>IF(BH178+BI178=0,"",IF(BK178=MAX(BK177:BK180),1,IF(BK178=LARGE(BK177:BK180,2),2,IF(BK178=MIN(BK177:BK180),4,3))))</f>
        <v>2</v>
      </c>
      <c r="BK178" s="55">
        <f>IF(BH178+BI178&lt;&gt;0,BH178-BI178+(BF178-BG178)/100+(BD178-BE178)/10000,-3)</f>
        <v>1.0319</v>
      </c>
    </row>
    <row r="179" spans="1:63" ht="11.25" customHeight="1">
      <c r="A179" s="11">
        <f t="shared" si="23"/>
        <v>54</v>
      </c>
      <c r="B179" s="11" t="str">
        <f>IF(N175="","",N175)</f>
        <v>I0002</v>
      </c>
      <c r="C179" s="11">
        <f>IF(N176="","",N176)</f>
      </c>
      <c r="D179" s="11" t="str">
        <f>IF(N184="","",N184)</f>
        <v>K0011</v>
      </c>
      <c r="E179" s="11">
        <f>IF(N185="","",N185)</f>
      </c>
      <c r="I179" s="2" t="str">
        <f>"3"&amp;O173&amp;N174</f>
        <v>31Open</v>
      </c>
      <c r="J179" s="2" t="str">
        <f>IF(AD180="","",IF(AD174=3,N175,IF(AD177=3,N178,IF(AD180=3,N181,IF(AD183=3,N184,"")))))</f>
        <v>I0002</v>
      </c>
      <c r="K179" s="2">
        <f>IF(AD180="","",IF(AD174=3,N176,IF(AD177=3,N179,IF(AD180=3,N182,IF(AD183=3,N185,"")))))</f>
        <v>0</v>
      </c>
      <c r="L179" s="2"/>
      <c r="M179" s="2" t="str">
        <f>N174</f>
        <v>Open</v>
      </c>
      <c r="N179" s="32"/>
      <c r="O179" s="31"/>
      <c r="P179" s="31"/>
      <c r="Q179" s="36">
        <f>IF(AT179&gt;0,"",IF(A179=0,"",IF(VLOOKUP(A179,'[1]plan_gier'!A:S,19,FALSE)="","",VLOOKUP(A179,'[1]plan_gier'!A:S,19,FALSE))))</f>
      </c>
      <c r="R179" s="37" t="s">
        <v>18</v>
      </c>
      <c r="S179" s="38">
        <v>54</v>
      </c>
      <c r="T179" s="236"/>
      <c r="U179" s="231">
        <f>IF(N179&lt;&gt;"",CONCATENATE(VLOOKUP(N179,'[1]zawodnicy'!$A:$E,1,FALSE)," ",VLOOKUP(N179,'[1]zawodnicy'!$A:$E,2,FALSE)," ",VLOOKUP(N179,'[1]zawodnicy'!$A:$E,3,FALSE)," - ",VLOOKUP(N179,'[1]zawodnicy'!$A:$E,4,FALSE)),"")</f>
      </c>
      <c r="V179" s="231"/>
      <c r="W179" s="67">
        <f>IF(SUM(AR182:AS182)=0,"",AS182&amp;":"&amp;AR182)</f>
      </c>
      <c r="X179" s="57"/>
      <c r="Y179" s="33">
        <f>IF(SUM(AR180:AS180)=0,"",AR180&amp;":"&amp;AS180)</f>
      </c>
      <c r="Z179" s="68" t="str">
        <f>IF(SUM(AR178:AS178)=0,"",AR178&amp;":"&amp;AS178)</f>
        <v>19:21</v>
      </c>
      <c r="AA179" s="236"/>
      <c r="AB179" s="237"/>
      <c r="AC179" s="237"/>
      <c r="AD179" s="238"/>
      <c r="AE179" s="24"/>
      <c r="AF179" s="24"/>
      <c r="AG179" s="37" t="s">
        <v>18</v>
      </c>
      <c r="AH179" s="45">
        <f>IF(ISBLANK(S179),"",VLOOKUP(S179,'[1]plan_gier'!$X:$AN,12,FALSE))</f>
        <v>13</v>
      </c>
      <c r="AI179" s="46">
        <f>IF(ISBLANK(S179),"",VLOOKUP(S179,'[1]plan_gier'!$X:$AN,13,FALSE))</f>
        <v>21</v>
      </c>
      <c r="AJ179" s="46">
        <f>IF(ISBLANK(S179),"",VLOOKUP(S179,'[1]plan_gier'!$X:$AN,14,FALSE))</f>
        <v>21</v>
      </c>
      <c r="AK179" s="46">
        <f>IF(ISBLANK(S179),"",VLOOKUP(S179,'[1]plan_gier'!$X:$AN,15,FALSE))</f>
        <v>23</v>
      </c>
      <c r="AL179" s="46">
        <f>IF(ISBLANK(S179),"",VLOOKUP(S179,'[1]plan_gier'!$X:$AN,16,FALSE))</f>
        <v>0</v>
      </c>
      <c r="AM179" s="46">
        <f>IF(ISBLANK(S179),"",VLOOKUP(S179,'[1]plan_gier'!$X:$AN,17,FALSE))</f>
        <v>0</v>
      </c>
      <c r="AN179" s="59">
        <f t="shared" si="24"/>
        <v>13</v>
      </c>
      <c r="AO179" s="60">
        <f t="shared" si="24"/>
        <v>21</v>
      </c>
      <c r="AP179" s="60">
        <f t="shared" si="24"/>
        <v>21</v>
      </c>
      <c r="AQ179" s="60">
        <f t="shared" si="24"/>
        <v>23</v>
      </c>
      <c r="AR179" s="60">
        <f t="shared" si="24"/>
        <v>0</v>
      </c>
      <c r="AS179" s="61">
        <f t="shared" si="24"/>
        <v>0</v>
      </c>
      <c r="AT179" s="48">
        <f t="shared" si="25"/>
        <v>78</v>
      </c>
      <c r="AU179" s="49">
        <v>3</v>
      </c>
      <c r="AV179" s="59">
        <f>IF(AH177&lt;AI177,1,0)+IF(AJ177&lt;AK177,1,0)+IF(AL177&lt;AM177,1,0)</f>
        <v>0</v>
      </c>
      <c r="AW179" s="60">
        <f>AZ177</f>
        <v>2</v>
      </c>
      <c r="AX179" s="60">
        <f>IF(AH180&lt;AI180,1,0)+IF(AJ180&lt;AK180,1,0)+IF(AL180&lt;AM180,1,0)</f>
        <v>0</v>
      </c>
      <c r="AY179" s="60">
        <f>AZ178</f>
        <v>2</v>
      </c>
      <c r="AZ179" s="62"/>
      <c r="BA179" s="63"/>
      <c r="BB179" s="60">
        <f>IF(AH181&gt;AI181,1,0)+IF(AJ181&gt;AK181,1,0)+IF(AL181&gt;AM181,1,0)</f>
        <v>0</v>
      </c>
      <c r="BC179" s="65">
        <f>AZ180</f>
        <v>2</v>
      </c>
      <c r="BD179" s="69">
        <f>AO177+AQ177+AS177+AO180+AQ180+AS180+AN181+AP181+AR181</f>
        <v>84</v>
      </c>
      <c r="BE179" s="70">
        <f>AN177+AP177+AR177+AN180+AP180+AR180+AO181+AQ181+AS181</f>
        <v>132</v>
      </c>
      <c r="BF179" s="69">
        <f>AV179+AX179+BB179</f>
        <v>0</v>
      </c>
      <c r="BG179" s="71">
        <f>AW179+AY179+BC179</f>
        <v>6</v>
      </c>
      <c r="BH179" s="59">
        <f>IF(AV179&gt;AW179,1,0)+IF(AX179&gt;AY179,1,0)+IF(BB179&gt;BC179,1,0)</f>
        <v>0</v>
      </c>
      <c r="BI179" s="61">
        <f>IF(AW179&gt;AV179,1,0)+IF(AY179&gt;AX179,1,0)+IF(BC179&gt;BB179,1,0)</f>
        <v>3</v>
      </c>
      <c r="BJ179" s="66">
        <f>IF(BH179+BI179=0,"",IF(BK179=MAX(BK177:BK180),1,IF(BK179=LARGE(BK177:BK180,2),2,IF(BK179=MIN(BK177:BK180),4,3))))</f>
        <v>4</v>
      </c>
      <c r="BK179" s="55">
        <f>IF(BH179+BI179&lt;&gt;0,BH179-BI179+(BF179-BG179)/100+(BD179-BE179)/10000,-3)</f>
        <v>-3.0648</v>
      </c>
    </row>
    <row r="180" spans="1:63" ht="11.25" customHeight="1" thickBot="1">
      <c r="A180" s="11">
        <f t="shared" si="23"/>
        <v>55</v>
      </c>
      <c r="B180" s="11" t="str">
        <f>IF(N178="","",N178)</f>
        <v>S0030</v>
      </c>
      <c r="C180" s="11">
        <f>IF(N179="","",N179)</f>
      </c>
      <c r="D180" s="11" t="str">
        <f>IF(N181="","",N181)</f>
        <v>S0020</v>
      </c>
      <c r="E180" s="11">
        <f>IF(N182="","",N182)</f>
      </c>
      <c r="J180" s="2"/>
      <c r="K180" s="31"/>
      <c r="L180" s="31"/>
      <c r="M180" s="2" t="str">
        <f>N174</f>
        <v>Open</v>
      </c>
      <c r="O180" s="31"/>
      <c r="P180" s="31"/>
      <c r="Q180" s="36">
        <f>IF(AT180&gt;0,"",IF(A180=0,"",IF(VLOOKUP(A180,'[1]plan_gier'!A:S,19,FALSE)="","",VLOOKUP(A180,'[1]plan_gier'!A:S,19,FALSE))))</f>
      </c>
      <c r="R180" s="37" t="s">
        <v>19</v>
      </c>
      <c r="S180" s="38">
        <v>55</v>
      </c>
      <c r="T180" s="236">
        <v>3</v>
      </c>
      <c r="U180" s="233">
        <f>IF(AND(N181&lt;&gt;"",N182&lt;&gt;""),CONCATENATE(VLOOKUP(N181,'[1]zawodnicy'!$A:$E,1,FALSE)," ",VLOOKUP(N181,'[1]zawodnicy'!$A:$E,2,FALSE)," ",VLOOKUP(N181,'[1]zawodnicy'!$A:$E,3,FALSE)," - ",VLOOKUP(N181,'[1]zawodnicy'!$A:$E,4,FALSE)),"")</f>
      </c>
      <c r="V180" s="233"/>
      <c r="W180" s="39" t="str">
        <f>IF(SUM(AN177:AO177)=0,"",AO177&amp;":"&amp;AN177)</f>
        <v>4:21</v>
      </c>
      <c r="X180" s="41" t="str">
        <f>IF(SUM(AN180:AO180)=0,"",AO180&amp;":"&amp;AN180)</f>
        <v>19:21</v>
      </c>
      <c r="Y180" s="72"/>
      <c r="Z180" s="42" t="str">
        <f>IF(SUM(AN181:AO181)=0,"",AN181&amp;":"&amp;AO181)</f>
        <v>12:21</v>
      </c>
      <c r="AA180" s="236" t="str">
        <f>IF(SUM(AV179:AY179,BB179:BC179)=0,"",BD179&amp;":"&amp;BE179)</f>
        <v>84:132</v>
      </c>
      <c r="AB180" s="237" t="str">
        <f>IF(SUM(AV179:AY179,BB179:BC179)=0,"",BF179&amp;":"&amp;BG179)</f>
        <v>0:6</v>
      </c>
      <c r="AC180" s="237" t="str">
        <f>IF(SUM(AV179:AY179,BB179:BC179)=0,"",BH179&amp;":"&amp;BI179)</f>
        <v>0:3</v>
      </c>
      <c r="AD180" s="238">
        <f>IF(SUM(BH177:BH180)&gt;0,BJ179,"")</f>
        <v>4</v>
      </c>
      <c r="AE180" s="24"/>
      <c r="AF180" s="24"/>
      <c r="AG180" s="37" t="s">
        <v>19</v>
      </c>
      <c r="AH180" s="45">
        <f>IF(ISBLANK(S180),"",VLOOKUP(S180,'[1]plan_gier'!$X:$AN,12,FALSE))</f>
        <v>21</v>
      </c>
      <c r="AI180" s="46">
        <f>IF(ISBLANK(S180),"",VLOOKUP(S180,'[1]plan_gier'!$X:$AN,13,FALSE))</f>
        <v>19</v>
      </c>
      <c r="AJ180" s="46">
        <f>IF(ISBLANK(S180),"",VLOOKUP(S180,'[1]plan_gier'!$X:$AN,14,FALSE))</f>
        <v>21</v>
      </c>
      <c r="AK180" s="46">
        <f>IF(ISBLANK(S180),"",VLOOKUP(S180,'[1]plan_gier'!$X:$AN,15,FALSE))</f>
        <v>11</v>
      </c>
      <c r="AL180" s="46">
        <f>IF(ISBLANK(S180),"",VLOOKUP(S180,'[1]plan_gier'!$X:$AN,16,FALSE))</f>
        <v>0</v>
      </c>
      <c r="AM180" s="46">
        <f>IF(ISBLANK(S180),"",VLOOKUP(S180,'[1]plan_gier'!$X:$AN,17,FALSE))</f>
        <v>0</v>
      </c>
      <c r="AN180" s="59">
        <f t="shared" si="24"/>
        <v>21</v>
      </c>
      <c r="AO180" s="60">
        <f t="shared" si="24"/>
        <v>19</v>
      </c>
      <c r="AP180" s="60">
        <f t="shared" si="24"/>
        <v>21</v>
      </c>
      <c r="AQ180" s="60">
        <f t="shared" si="24"/>
        <v>11</v>
      </c>
      <c r="AR180" s="60">
        <f t="shared" si="24"/>
        <v>0</v>
      </c>
      <c r="AS180" s="61">
        <f t="shared" si="24"/>
        <v>0</v>
      </c>
      <c r="AT180" s="48">
        <f t="shared" si="25"/>
        <v>72</v>
      </c>
      <c r="AU180" s="49">
        <v>4</v>
      </c>
      <c r="AV180" s="73">
        <f>IF(AH179&lt;AI179,1,0)+IF(AJ179&lt;AK179,1,0)+IF(AL179&lt;AM179,1,0)</f>
        <v>2</v>
      </c>
      <c r="AW180" s="74">
        <f>BB177</f>
        <v>0</v>
      </c>
      <c r="AX180" s="74">
        <f>IF(AH178&lt;AI178,1,0)+IF(AJ178&lt;AK178,1,0)+IF(AL178&lt;AM178,1,0)</f>
        <v>2</v>
      </c>
      <c r="AY180" s="74">
        <f>BB178</f>
        <v>1</v>
      </c>
      <c r="AZ180" s="75">
        <f>IF(AH181&lt;AI181,1,0)+IF(AJ181&lt;AK181,1,0)+IF(AL181&lt;AM181,1,0)</f>
        <v>2</v>
      </c>
      <c r="BA180" s="75">
        <f>BB179</f>
        <v>0</v>
      </c>
      <c r="BB180" s="76"/>
      <c r="BC180" s="77"/>
      <c r="BD180" s="78">
        <f>AO178+AQ178+AS178+AO179+AQ179+AS179+AO181+AQ181+AS181</f>
        <v>144</v>
      </c>
      <c r="BE180" s="79">
        <f>AN178+AP178+AR178+AN179+AP179+AR179+AN181+AP181+AR181</f>
        <v>111</v>
      </c>
      <c r="BF180" s="78">
        <f>AV180+AX180+AZ180</f>
        <v>6</v>
      </c>
      <c r="BG180" s="80">
        <f>AW180+AY180+BA180</f>
        <v>1</v>
      </c>
      <c r="BH180" s="78">
        <f>IF(AV180&gt;AW180,1,0)+IF(AX180&gt;AY180,1,0)+IF(AZ180&gt;BA180,1,0)</f>
        <v>3</v>
      </c>
      <c r="BI180" s="80">
        <f>IF(AW180&gt;AV180,1,0)+IF(AY180&gt;AX180,1,0)+IF(BA180&gt;AZ180,1,0)</f>
        <v>0</v>
      </c>
      <c r="BJ180" s="81">
        <f>IF(BH180+BI180=0,"",IF(BK180=MAX(BK177:BK180),1,IF(BK180=LARGE(BK177:BK180,2),2,IF(BK180=MIN(BK177:BK180),4,3))))</f>
        <v>1</v>
      </c>
      <c r="BK180" s="55">
        <f>IF(BH180+BI180&lt;&gt;0,BH180-BI180+(BF180-BG180)/100+(BD180-BE180)/10000,-3)</f>
        <v>3.0532999999999997</v>
      </c>
    </row>
    <row r="181" spans="1:63" ht="11.25" customHeight="1">
      <c r="A181" s="11">
        <f t="shared" si="23"/>
        <v>56</v>
      </c>
      <c r="B181" s="11" t="str">
        <f>IF(N181="","",N181)</f>
        <v>S0020</v>
      </c>
      <c r="C181" s="11">
        <f>IF(N182="","",N182)</f>
      </c>
      <c r="D181" s="11" t="str">
        <f>IF(N184="","",N184)</f>
        <v>K0011</v>
      </c>
      <c r="E181" s="11">
        <f>IF(N185="","",N185)</f>
      </c>
      <c r="I181" s="2" t="str">
        <f>"4"&amp;O173&amp;N174</f>
        <v>41Open</v>
      </c>
      <c r="J181" s="2" t="str">
        <f>IF(AD183="","",IF(AD174=4,N175,IF(AD177=4,N178,IF(AD180=4,N181,IF(AD183=4,N184,"")))))</f>
        <v>S0020</v>
      </c>
      <c r="K181" s="2">
        <f>IF(AD183="","",IF(AD174=4,N176,IF(AD177=4,N179,IF(AD180=4,N182,IF(AD183=4,N185,"")))))</f>
        <v>0</v>
      </c>
      <c r="L181" s="2"/>
      <c r="M181" s="2" t="str">
        <f>N174</f>
        <v>Open</v>
      </c>
      <c r="N181" s="29" t="s">
        <v>48</v>
      </c>
      <c r="O181" s="30">
        <f>IF(O173&gt;0,(O173&amp;3)*1,"")</f>
        <v>13</v>
      </c>
      <c r="Q181" s="36">
        <f>IF(AT181&gt;0,"",IF(A181=0,"",IF(VLOOKUP(A181,'[1]plan_gier'!A:S,19,FALSE)="","",VLOOKUP(A181,'[1]plan_gier'!A:S,19,FALSE))))</f>
      </c>
      <c r="R181" s="37" t="s">
        <v>21</v>
      </c>
      <c r="S181" s="38">
        <v>56</v>
      </c>
      <c r="T181" s="236"/>
      <c r="U181" s="228" t="str">
        <f>IF(AND(N181&lt;&gt;"",N182=""),CONCATENATE(VLOOKUP(N181,'[1]zawodnicy'!$A:$E,1,FALSE)," ",VLOOKUP(N181,'[1]zawodnicy'!$A:$E,2,FALSE)," ",VLOOKUP(N181,'[1]zawodnicy'!$A:$E,3,FALSE)," - ",VLOOKUP(N181,'[1]zawodnicy'!$A:$E,4,FALSE)),"")</f>
        <v>S0020 Mariusz SŁOMBA - Mielec</v>
      </c>
      <c r="V181" s="228"/>
      <c r="W181" s="56" t="str">
        <f>IF(SUM(AP177:AQ177)=0,"",AQ177&amp;":"&amp;AP177)</f>
        <v>25:27</v>
      </c>
      <c r="X181" s="27" t="str">
        <f>IF(SUM(AP180:AQ180)=0,"",AQ180&amp;":"&amp;AP180)</f>
        <v>11:21</v>
      </c>
      <c r="Y181" s="82"/>
      <c r="Z181" s="58" t="str">
        <f>IF(SUM(AP181:AQ181)=0,"",AP181&amp;":"&amp;AQ181)</f>
        <v>13:21</v>
      </c>
      <c r="AA181" s="236"/>
      <c r="AB181" s="237"/>
      <c r="AC181" s="237"/>
      <c r="AD181" s="238"/>
      <c r="AE181" s="24"/>
      <c r="AF181" s="24"/>
      <c r="AG181" s="37" t="s">
        <v>21</v>
      </c>
      <c r="AH181" s="45">
        <f>IF(ISBLANK(S181),"",VLOOKUP(S181,'[1]plan_gier'!$X:$AN,12,FALSE))</f>
        <v>12</v>
      </c>
      <c r="AI181" s="46">
        <f>IF(ISBLANK(S181),"",VLOOKUP(S181,'[1]plan_gier'!$X:$AN,13,FALSE))</f>
        <v>21</v>
      </c>
      <c r="AJ181" s="46">
        <f>IF(ISBLANK(S181),"",VLOOKUP(S181,'[1]plan_gier'!$X:$AN,14,FALSE))</f>
        <v>13</v>
      </c>
      <c r="AK181" s="46">
        <f>IF(ISBLANK(S181),"",VLOOKUP(S181,'[1]plan_gier'!$X:$AN,15,FALSE))</f>
        <v>21</v>
      </c>
      <c r="AL181" s="46">
        <f>IF(ISBLANK(S181),"",VLOOKUP(S181,'[1]plan_gier'!$X:$AN,16,FALSE))</f>
        <v>0</v>
      </c>
      <c r="AM181" s="46">
        <f>IF(ISBLANK(S181),"",VLOOKUP(S181,'[1]plan_gier'!$X:$AN,17,FALSE))</f>
        <v>0</v>
      </c>
      <c r="AN181" s="59">
        <f t="shared" si="24"/>
        <v>12</v>
      </c>
      <c r="AO181" s="60">
        <f t="shared" si="24"/>
        <v>21</v>
      </c>
      <c r="AP181" s="60">
        <f t="shared" si="24"/>
        <v>13</v>
      </c>
      <c r="AQ181" s="60">
        <f t="shared" si="24"/>
        <v>21</v>
      </c>
      <c r="AR181" s="60">
        <f t="shared" si="24"/>
        <v>0</v>
      </c>
      <c r="AS181" s="61">
        <f t="shared" si="24"/>
        <v>0</v>
      </c>
      <c r="AT181" s="48">
        <f t="shared" si="25"/>
        <v>67</v>
      </c>
      <c r="BD181" s="11">
        <f aca="true" t="shared" si="26" ref="BD181:BI181">SUM(BD177:BD180)</f>
        <v>475</v>
      </c>
      <c r="BE181" s="11">
        <f t="shared" si="26"/>
        <v>475</v>
      </c>
      <c r="BF181" s="11">
        <f t="shared" si="26"/>
        <v>13</v>
      </c>
      <c r="BG181" s="11">
        <f t="shared" si="26"/>
        <v>13</v>
      </c>
      <c r="BH181" s="11">
        <f t="shared" si="26"/>
        <v>6</v>
      </c>
      <c r="BI181" s="11">
        <f t="shared" si="26"/>
        <v>6</v>
      </c>
      <c r="BK181" s="12">
        <f>SUM(BK177:BK180)</f>
        <v>0</v>
      </c>
    </row>
    <row r="182" spans="1:46" ht="11.25" customHeight="1" thickBot="1">
      <c r="A182" s="11">
        <f t="shared" si="23"/>
        <v>57</v>
      </c>
      <c r="B182" s="11" t="str">
        <f>IF(N175="","",N175)</f>
        <v>I0002</v>
      </c>
      <c r="C182" s="11">
        <f>IF(N176="","",N176)</f>
      </c>
      <c r="D182" s="11" t="str">
        <f>IF(N178="","",N178)</f>
        <v>S0030</v>
      </c>
      <c r="E182" s="11">
        <f>IF(N179="","",N179)</f>
      </c>
      <c r="J182" s="31"/>
      <c r="K182" s="31"/>
      <c r="L182" s="31"/>
      <c r="M182" s="2" t="str">
        <f>N174</f>
        <v>Open</v>
      </c>
      <c r="N182" s="32"/>
      <c r="O182" s="31"/>
      <c r="P182" s="31"/>
      <c r="Q182" s="36">
        <f>IF(AT182&gt;0,"",IF(A182=0,"",IF(VLOOKUP(A182,'[1]plan_gier'!A:S,19,FALSE)="","",VLOOKUP(A182,'[1]plan_gier'!A:S,19,FALSE))))</f>
      </c>
      <c r="R182" s="37" t="s">
        <v>22</v>
      </c>
      <c r="S182" s="38">
        <v>57</v>
      </c>
      <c r="T182" s="236"/>
      <c r="U182" s="231">
        <f>IF(N182&lt;&gt;"",CONCATENATE(VLOOKUP(N182,'[1]zawodnicy'!$A:$E,1,FALSE)," ",VLOOKUP(N182,'[1]zawodnicy'!$A:$E,2,FALSE)," ",VLOOKUP(N182,'[1]zawodnicy'!$A:$E,3,FALSE)," - ",VLOOKUP(N182,'[1]zawodnicy'!$A:$E,4,FALSE)),"")</f>
      </c>
      <c r="V182" s="231"/>
      <c r="W182" s="67">
        <f>IF(SUM(AR177:AS177)=0,"",AS177&amp;":"&amp;AR177)</f>
      </c>
      <c r="X182" s="33">
        <f>IF(SUM(AR180:AS180)=0,"",AS180&amp;":"&amp;AR180)</f>
      </c>
      <c r="Y182" s="82"/>
      <c r="Z182" s="68">
        <f>IF(SUM(AR181:AS181)=0,"",AR181&amp;":"&amp;AS181)</f>
      </c>
      <c r="AA182" s="236"/>
      <c r="AB182" s="237"/>
      <c r="AC182" s="237"/>
      <c r="AD182" s="238"/>
      <c r="AE182" s="24"/>
      <c r="AF182" s="24"/>
      <c r="AG182" s="37" t="s">
        <v>22</v>
      </c>
      <c r="AH182" s="73">
        <f>IF(ISBLANK(S182),"",VLOOKUP(S182,'[1]plan_gier'!$X:$AN,12,FALSE))</f>
        <v>10</v>
      </c>
      <c r="AI182" s="74">
        <f>IF(ISBLANK(S182),"",VLOOKUP(S182,'[1]plan_gier'!$X:$AN,13,FALSE))</f>
        <v>21</v>
      </c>
      <c r="AJ182" s="74">
        <f>IF(ISBLANK(S182),"",VLOOKUP(S182,'[1]plan_gier'!$X:$AN,14,FALSE))</f>
        <v>19</v>
      </c>
      <c r="AK182" s="74">
        <f>IF(ISBLANK(S182),"",VLOOKUP(S182,'[1]plan_gier'!$X:$AN,15,FALSE))</f>
        <v>21</v>
      </c>
      <c r="AL182" s="74">
        <f>IF(ISBLANK(S182),"",VLOOKUP(S182,'[1]plan_gier'!$X:$AN,16,FALSE))</f>
        <v>0</v>
      </c>
      <c r="AM182" s="74">
        <f>IF(ISBLANK(S182),"",VLOOKUP(S182,'[1]plan_gier'!$X:$AN,17,FALSE))</f>
        <v>0</v>
      </c>
      <c r="AN182" s="78">
        <f t="shared" si="24"/>
        <v>10</v>
      </c>
      <c r="AO182" s="75">
        <f t="shared" si="24"/>
        <v>21</v>
      </c>
      <c r="AP182" s="75">
        <f t="shared" si="24"/>
        <v>19</v>
      </c>
      <c r="AQ182" s="75">
        <f t="shared" si="24"/>
        <v>21</v>
      </c>
      <c r="AR182" s="75">
        <f t="shared" si="24"/>
        <v>0</v>
      </c>
      <c r="AS182" s="80">
        <f t="shared" si="24"/>
        <v>0</v>
      </c>
      <c r="AT182" s="48">
        <f t="shared" si="25"/>
        <v>71</v>
      </c>
    </row>
    <row r="183" spans="1:46" ht="11.25" customHeight="1" thickBot="1">
      <c r="A183" s="2"/>
      <c r="J183" s="31"/>
      <c r="K183" s="31"/>
      <c r="L183" s="31"/>
      <c r="O183" s="31"/>
      <c r="P183" s="31"/>
      <c r="Q183" s="2"/>
      <c r="R183" s="2"/>
      <c r="S183" s="2"/>
      <c r="T183" s="232">
        <v>4</v>
      </c>
      <c r="U183" s="233">
        <f>IF(AND(N184&lt;&gt;"",N185&lt;&gt;""),CONCATENATE(VLOOKUP(N184,'[1]zawodnicy'!$A:$E,1,FALSE)," ",VLOOKUP(N184,'[1]zawodnicy'!$A:$E,2,FALSE)," ",VLOOKUP(N184,'[1]zawodnicy'!$A:$E,3,FALSE)," - ",VLOOKUP(N184,'[1]zawodnicy'!$A:$E,4,FALSE)),"")</f>
      </c>
      <c r="V183" s="233"/>
      <c r="W183" s="39" t="str">
        <f>IF(SUM(AN179:AO179)=0,"",AO179&amp;":"&amp;AN179)</f>
        <v>21:13</v>
      </c>
      <c r="X183" s="41" t="str">
        <f>IF(SUM(AN178:AO178)=0,"",AO178&amp;":"&amp;AN178)</f>
        <v>21:12</v>
      </c>
      <c r="Y183" s="41" t="str">
        <f>IF(SUM(AN181:AO181)=0,"",AO181&amp;":"&amp;AN181)</f>
        <v>21:12</v>
      </c>
      <c r="Z183" s="83"/>
      <c r="AA183" s="232" t="str">
        <f>IF(SUM(AV180:BA180)=0,"",BD180&amp;":"&amp;BE180)</f>
        <v>144:111</v>
      </c>
      <c r="AB183" s="234" t="str">
        <f>IF(SUM(AV180:BA180)=0,"",BF180&amp;":"&amp;BG180)</f>
        <v>6:1</v>
      </c>
      <c r="AC183" s="234" t="str">
        <f>IF(SUM(AV180:BA180)=0,"",BH180&amp;":"&amp;BI180)</f>
        <v>3:0</v>
      </c>
      <c r="AD183" s="227">
        <f>IF(SUM(BH177:BH180)&gt;0,BJ180,"")</f>
        <v>1</v>
      </c>
      <c r="AE183" s="24"/>
      <c r="AF183" s="24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63" ht="11.25" customHeight="1" thickBot="1">
      <c r="A184" s="11"/>
      <c r="B184" s="11"/>
      <c r="C184" s="11"/>
      <c r="D184" s="11"/>
      <c r="E184" s="11"/>
      <c r="J184" s="11"/>
      <c r="K184" s="11"/>
      <c r="L184" s="11"/>
      <c r="N184" s="29" t="s">
        <v>72</v>
      </c>
      <c r="O184" s="30">
        <f>IF(O173&gt;0,(O173&amp;4)*1,"")</f>
        <v>14</v>
      </c>
      <c r="Q184" s="10"/>
      <c r="R184" s="10"/>
      <c r="S184" s="84"/>
      <c r="T184" s="232"/>
      <c r="U184" s="228" t="str">
        <f>IF(AND(N184&lt;&gt;"",N185=""),CONCATENATE(VLOOKUP(N184,'[1]zawodnicy'!$A:$E,1,FALSE)," ",VLOOKUP(N184,'[1]zawodnicy'!$A:$E,2,FALSE)," ",VLOOKUP(N184,'[1]zawodnicy'!$A:$E,3,FALSE)," - ",VLOOKUP(N184,'[1]zawodnicy'!$A:$E,4,FALSE)),"")</f>
        <v>K0011 Bartłomiej KOŚMIDER - Szczucin</v>
      </c>
      <c r="V184" s="228"/>
      <c r="W184" s="56" t="str">
        <f>IF(SUM(AP179:AQ179)=0,"",AQ179&amp;":"&amp;AP179)</f>
        <v>23:21</v>
      </c>
      <c r="X184" s="27" t="str">
        <f>IF(SUM(AP178:AQ178)=0,"",AQ178&amp;":"&amp;AP178)</f>
        <v>16:21</v>
      </c>
      <c r="Y184" s="27" t="str">
        <f>IF(SUM(AP181:AQ181)=0,"",AQ181&amp;":"&amp;AP181)</f>
        <v>21:13</v>
      </c>
      <c r="Z184" s="85"/>
      <c r="AA184" s="232"/>
      <c r="AB184" s="234"/>
      <c r="AC184" s="234"/>
      <c r="AD184" s="227"/>
      <c r="AE184" s="24"/>
      <c r="AF184" s="24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1:63" ht="11.25" customHeight="1" thickBot="1">
      <c r="A185" s="2"/>
      <c r="J185" s="31"/>
      <c r="K185" s="31"/>
      <c r="L185" s="31"/>
      <c r="N185" s="32"/>
      <c r="O185" s="31"/>
      <c r="P185" s="31"/>
      <c r="Q185" s="2"/>
      <c r="R185" s="2"/>
      <c r="S185" s="2"/>
      <c r="T185" s="232"/>
      <c r="U185" s="229">
        <f>IF(N185&lt;&gt;"",CONCATENATE(VLOOKUP(N185,'[1]zawodnicy'!$A:$E,1,FALSE)," ",VLOOKUP(N185,'[1]zawodnicy'!$A:$E,2,FALSE)," ",VLOOKUP(N185,'[1]zawodnicy'!$A:$E,3,FALSE)," - ",VLOOKUP(N185,'[1]zawodnicy'!$A:$E,4,FALSE)),"")</f>
      </c>
      <c r="V185" s="229"/>
      <c r="W185" s="86">
        <f>IF(SUM(AR179:AS179)=0,"",AS179&amp;":"&amp;AR179)</f>
      </c>
      <c r="X185" s="87" t="str">
        <f>IF(SUM(AR178:AS178)=0,"",AS178&amp;":"&amp;AR178)</f>
        <v>21:19</v>
      </c>
      <c r="Y185" s="87">
        <f>IF(SUM(AR181:AS181)=0,"",AS181&amp;":"&amp;AR181)</f>
      </c>
      <c r="Z185" s="88"/>
      <c r="AA185" s="232"/>
      <c r="AB185" s="234"/>
      <c r="AC185" s="234"/>
      <c r="AD185" s="227"/>
      <c r="AE185" s="24"/>
      <c r="AF185" s="24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ht="11.25" customHeight="1"/>
    <row r="187" spans="13:31" ht="11.25" customHeight="1">
      <c r="M187" s="8"/>
      <c r="N187" s="9" t="s">
        <v>73</v>
      </c>
      <c r="Q187" s="245" t="str">
        <f>"Gra "&amp;N187</f>
        <v>Gra Gra podwójna</v>
      </c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</row>
    <row r="188" ht="11.25" customHeight="1" thickBot="1"/>
    <row r="189" spans="14:32" ht="11.25" customHeight="1" thickBot="1">
      <c r="N189" s="7"/>
      <c r="O189" s="14">
        <v>1</v>
      </c>
      <c r="Q189" s="245" t="str">
        <f>"Grupa "&amp;O189&amp;"."</f>
        <v>Grupa 1.</v>
      </c>
      <c r="R189" s="245"/>
      <c r="S189" s="245"/>
      <c r="T189" s="15" t="s">
        <v>1</v>
      </c>
      <c r="U189" s="246" t="s">
        <v>2</v>
      </c>
      <c r="V189" s="246"/>
      <c r="W189" s="15">
        <v>1</v>
      </c>
      <c r="X189" s="18">
        <v>2</v>
      </c>
      <c r="Y189" s="16">
        <v>3</v>
      </c>
      <c r="Z189" s="89" t="s">
        <v>3</v>
      </c>
      <c r="AA189" s="22" t="s">
        <v>4</v>
      </c>
      <c r="AB189" s="22" t="s">
        <v>5</v>
      </c>
      <c r="AC189" s="90" t="s">
        <v>6</v>
      </c>
      <c r="AD189" s="2"/>
      <c r="AE189" s="24"/>
      <c r="AF189" s="24"/>
    </row>
    <row r="190" spans="10:45" ht="11.25" customHeight="1" thickBot="1">
      <c r="J190" s="31"/>
      <c r="K190" s="31"/>
      <c r="L190" s="31"/>
      <c r="N190" s="25" t="s">
        <v>73</v>
      </c>
      <c r="Q190" s="247" t="s">
        <v>9</v>
      </c>
      <c r="R190" s="247"/>
      <c r="S190" s="248" t="s">
        <v>10</v>
      </c>
      <c r="T190" s="249">
        <v>1</v>
      </c>
      <c r="U190" s="250" t="str">
        <f>IF(AND(N191&lt;&gt;"",N192&lt;&gt;""),CONCATENATE(VLOOKUP(N191,'[1]zawodnicy'!$A:$E,1,FALSE)," ",VLOOKUP(N191,'[1]zawodnicy'!$A:$E,2,FALSE)," ",VLOOKUP(N191,'[1]zawodnicy'!$A:$E,3,FALSE)," - ",VLOOKUP(N191,'[1]zawodnicy'!$A:$E,4,FALSE)),"")</f>
        <v>K0012 Piotr KOTERBA - Rzeszów</v>
      </c>
      <c r="V190" s="250"/>
      <c r="W190" s="91"/>
      <c r="X190" s="92" t="str">
        <f>IF(SUM(AN195:AO195)=0,"",AN195&amp;":"&amp;AO195)</f>
        <v>21:19</v>
      </c>
      <c r="Y190" s="93" t="str">
        <f>IF(SUM(AN193:AO193)=0,"",AN193&amp;":"&amp;AO193)</f>
        <v>27:25</v>
      </c>
      <c r="Z190" s="249" t="str">
        <f>IF(SUM(AX193:BA193)=0,"",BD193&amp;":"&amp;BE193)</f>
        <v>102:88</v>
      </c>
      <c r="AA190" s="242" t="str">
        <f>IF(SUM(AX193:BA193)=0,"",BF193&amp;":"&amp;BG193)</f>
        <v>4:1</v>
      </c>
      <c r="AB190" s="242" t="str">
        <f>IF(SUM(AX193:BA193)=0,"",BH193&amp;":"&amp;BI193)</f>
        <v>2:0</v>
      </c>
      <c r="AC190" s="243">
        <f>IF(SUM(BH193:BH195)&gt;0,BJ193,"")</f>
        <v>1</v>
      </c>
      <c r="AD190" s="2"/>
      <c r="AE190" s="24"/>
      <c r="AF190" s="24"/>
      <c r="AH190" s="244" t="s">
        <v>7</v>
      </c>
      <c r="AI190" s="244"/>
      <c r="AJ190" s="244"/>
      <c r="AK190" s="244"/>
      <c r="AL190" s="244"/>
      <c r="AM190" s="244"/>
      <c r="AN190" s="244" t="s">
        <v>8</v>
      </c>
      <c r="AO190" s="244"/>
      <c r="AP190" s="244"/>
      <c r="AQ190" s="244"/>
      <c r="AR190" s="244"/>
      <c r="AS190" s="244"/>
    </row>
    <row r="191" spans="9:59" ht="11.25" customHeight="1" thickBot="1">
      <c r="I191" s="2" t="str">
        <f>"1"&amp;O189&amp;N190</f>
        <v>11Gra podwójna</v>
      </c>
      <c r="J191" s="2" t="str">
        <f>IF(AC190="","",IF(AC190=1,N191,IF(AC193=1,N194,IF(AC196=1,N197,""))))</f>
        <v>K0012</v>
      </c>
      <c r="K191" s="2" t="str">
        <f>IF(AC190="","",IF(AC190=1,N192,IF(AC193=1,N195,IF(AC196=1,N198,""))))</f>
        <v>D0008</v>
      </c>
      <c r="L191" s="2"/>
      <c r="N191" s="29" t="s">
        <v>54</v>
      </c>
      <c r="O191" s="30">
        <f>IF(O189&gt;0,(O189&amp;1)*1,"")</f>
        <v>11</v>
      </c>
      <c r="Q191" s="247"/>
      <c r="R191" s="247"/>
      <c r="S191" s="248"/>
      <c r="T191" s="249"/>
      <c r="U191" s="228">
        <f>IF(AND(N191&lt;&gt;"",N192=""),CONCATENATE(VLOOKUP(N191,'[1]zawodnicy'!$A:$E,1,FALSE)," ",VLOOKUP(N191,'[1]zawodnicy'!$A:$E,2,FALSE)," ",VLOOKUP(N191,'[1]zawodnicy'!$A:$E,3,FALSE)," - ",VLOOKUP(N191,'[1]zawodnicy'!$A:$E,4,FALSE)),"")</f>
      </c>
      <c r="V191" s="228"/>
      <c r="W191" s="26"/>
      <c r="X191" s="27" t="str">
        <f>IF(SUM(AP195:AQ195)=0,"",AP195&amp;":"&amp;AQ195)</f>
        <v>12:21</v>
      </c>
      <c r="Y191" s="58" t="str">
        <f>IF(SUM(AP193:AQ193)=0,"",AP193&amp;":"&amp;AQ193)</f>
        <v>21:9</v>
      </c>
      <c r="Z191" s="249"/>
      <c r="AA191" s="242"/>
      <c r="AB191" s="242"/>
      <c r="AC191" s="243"/>
      <c r="AD191" s="2"/>
      <c r="AE191" s="24"/>
      <c r="AF191" s="24"/>
      <c r="BD191" s="11">
        <f>SUM(BD193:BD195)</f>
        <v>260</v>
      </c>
      <c r="BE191" s="11">
        <f>SUM(BE193:BE195)</f>
        <v>260</v>
      </c>
      <c r="BF191" s="11">
        <f>SUM(BF193:BF195)</f>
        <v>7</v>
      </c>
      <c r="BG191" s="11">
        <f>SUM(BG193:BG195)</f>
        <v>7</v>
      </c>
    </row>
    <row r="192" spans="10:63" ht="11.25" customHeight="1" thickBot="1">
      <c r="J192" s="2"/>
      <c r="K192" s="31"/>
      <c r="L192" s="31"/>
      <c r="N192" s="32" t="s">
        <v>24</v>
      </c>
      <c r="O192" s="31"/>
      <c r="P192" s="31"/>
      <c r="Q192" s="247"/>
      <c r="R192" s="247"/>
      <c r="S192" s="248"/>
      <c r="T192" s="249"/>
      <c r="U192" s="231" t="str">
        <f>IF(N192&lt;&gt;"",CONCATENATE(VLOOKUP(N192,'[1]zawodnicy'!$A:$E,1,FALSE)," ",VLOOKUP(N192,'[1]zawodnicy'!$A:$E,2,FALSE)," ",VLOOKUP(N192,'[1]zawodnicy'!$A:$E,3,FALSE)," - ",VLOOKUP(N192,'[1]zawodnicy'!$A:$E,4,FALSE)),"")</f>
        <v>D0008 Patrycja DOMAŃSKA - Rzeszów</v>
      </c>
      <c r="V192" s="231"/>
      <c r="W192" s="26"/>
      <c r="X192" s="33" t="str">
        <f>IF(SUM(AR195:AS195)=0,"",AR195&amp;":"&amp;AS195)</f>
        <v>21:14</v>
      </c>
      <c r="Y192" s="68">
        <f>IF(SUM(AR193:AS193)=0,"",AR193&amp;":"&amp;AS193)</f>
      </c>
      <c r="Z192" s="249"/>
      <c r="AA192" s="242"/>
      <c r="AB192" s="242"/>
      <c r="AC192" s="243"/>
      <c r="AD192" s="2"/>
      <c r="AE192" s="24"/>
      <c r="AF192" s="24"/>
      <c r="AH192" s="239" t="s">
        <v>12</v>
      </c>
      <c r="AI192" s="239"/>
      <c r="AJ192" s="240" t="s">
        <v>13</v>
      </c>
      <c r="AK192" s="240"/>
      <c r="AL192" s="241" t="s">
        <v>14</v>
      </c>
      <c r="AM192" s="241"/>
      <c r="AN192" s="239" t="s">
        <v>12</v>
      </c>
      <c r="AO192" s="239"/>
      <c r="AP192" s="240" t="s">
        <v>13</v>
      </c>
      <c r="AQ192" s="240"/>
      <c r="AR192" s="240" t="s">
        <v>14</v>
      </c>
      <c r="AS192" s="240"/>
      <c r="AT192" s="24"/>
      <c r="AU192" s="24"/>
      <c r="AV192" s="239">
        <v>1</v>
      </c>
      <c r="AW192" s="239"/>
      <c r="AX192" s="240">
        <v>2</v>
      </c>
      <c r="AY192" s="240"/>
      <c r="AZ192" s="241">
        <v>3</v>
      </c>
      <c r="BA192" s="241"/>
      <c r="BD192" s="235" t="s">
        <v>3</v>
      </c>
      <c r="BE192" s="235"/>
      <c r="BF192" s="235" t="s">
        <v>4</v>
      </c>
      <c r="BG192" s="235"/>
      <c r="BH192" s="235" t="s">
        <v>5</v>
      </c>
      <c r="BI192" s="235"/>
      <c r="BJ192" s="35" t="s">
        <v>6</v>
      </c>
      <c r="BK192" s="12">
        <f>SUM(BK193:BK195)</f>
        <v>0</v>
      </c>
    </row>
    <row r="193" spans="1:63" ht="11.25" customHeight="1">
      <c r="A193" s="11">
        <f>S193</f>
        <v>61</v>
      </c>
      <c r="B193" s="2" t="str">
        <f>IF(N191="","",N191)</f>
        <v>K0012</v>
      </c>
      <c r="C193" s="2" t="str">
        <f>IF(N192="","",N192)</f>
        <v>D0008</v>
      </c>
      <c r="D193" s="2" t="str">
        <f>IF(N197="","",N197)</f>
        <v>G0015</v>
      </c>
      <c r="E193" s="2" t="str">
        <f>IF(N198="","",N198)</f>
        <v>O0004</v>
      </c>
      <c r="I193" s="2" t="str">
        <f>"2"&amp;O189&amp;N190</f>
        <v>21Gra podwójna</v>
      </c>
      <c r="J193" s="2" t="str">
        <f>IF(AC193="","",IF(AC190=2,N191,IF(AC193=2,N194,IF(AC196=2,N197,""))))</f>
        <v>I0002</v>
      </c>
      <c r="K193" s="2" t="str">
        <f>IF(AC193="","",IF(AC190=2,N192,IF(AC193=2,N195,IF(AC196=2,N198,""))))</f>
        <v>K0003</v>
      </c>
      <c r="M193" s="2" t="str">
        <f>N190</f>
        <v>Gra podwójna</v>
      </c>
      <c r="O193" s="31"/>
      <c r="P193" s="31"/>
      <c r="Q193" s="36">
        <f>IF(AT193&gt;0,"",IF(A193=0,"",IF(VLOOKUP(A193,'[1]plan_gier'!A:S,19,FALSE)="","",VLOOKUP(A193,'[1]plan_gier'!A:S,19,FALSE))))</f>
      </c>
      <c r="R193" s="37" t="s">
        <v>15</v>
      </c>
      <c r="S193" s="84">
        <v>61</v>
      </c>
      <c r="T193" s="236">
        <v>2</v>
      </c>
      <c r="U193" s="233" t="str">
        <f>IF(AND(N194&lt;&gt;"",N195&lt;&gt;""),CONCATENATE(VLOOKUP(N194,'[1]zawodnicy'!$A:$E,1,FALSE)," ",VLOOKUP(N194,'[1]zawodnicy'!$A:$E,2,FALSE)," ",VLOOKUP(N194,'[1]zawodnicy'!$A:$E,3,FALSE)," - ",VLOOKUP(N194,'[1]zawodnicy'!$A:$E,4,FALSE)),"")</f>
        <v>I0002 Igor IWAŃSKI - Mielec</v>
      </c>
      <c r="V193" s="233"/>
      <c r="W193" s="39" t="str">
        <f>IF(SUM(AN195:AO195)=0,"",AO195&amp;":"&amp;AN195)</f>
        <v>19:21</v>
      </c>
      <c r="X193" s="72"/>
      <c r="Y193" s="42" t="str">
        <f>IF(SUM(AN194:AO194)=0,"",AN194&amp;":"&amp;AO194)</f>
        <v>21:10</v>
      </c>
      <c r="Z193" s="236" t="str">
        <f>IF(SUM(AV194:AW194,AZ194:BA194)=0,"",BD194&amp;":"&amp;BE194)</f>
        <v>96:82</v>
      </c>
      <c r="AA193" s="237" t="str">
        <f>IF(SUM(AV194:AW194,AZ194:BA194)=0,"",BF194&amp;":"&amp;BG194)</f>
        <v>3:2</v>
      </c>
      <c r="AB193" s="237" t="str">
        <f>IF(SUM(AV194:AW194,AZ194:BA194)=0,"",BH194&amp;":"&amp;BI194)</f>
        <v>1:1</v>
      </c>
      <c r="AC193" s="238">
        <f>IF(SUM(BH193:BH195)&gt;0,BJ194,"")</f>
        <v>2</v>
      </c>
      <c r="AD193" s="2"/>
      <c r="AE193" s="24"/>
      <c r="AF193" s="24"/>
      <c r="AG193" s="37" t="s">
        <v>15</v>
      </c>
      <c r="AH193" s="45">
        <f>IF(ISBLANK(S193),"",VLOOKUP(S193,'[1]plan_gier'!$X:$AN,12,FALSE))</f>
        <v>27</v>
      </c>
      <c r="AI193" s="46">
        <f>IF(ISBLANK(S193),"",VLOOKUP(S193,'[1]plan_gier'!$X:$AN,13,FALSE))</f>
        <v>25</v>
      </c>
      <c r="AJ193" s="46">
        <f>IF(ISBLANK(S193),"",VLOOKUP(S193,'[1]plan_gier'!$X:$AN,14,FALSE))</f>
        <v>21</v>
      </c>
      <c r="AK193" s="46">
        <f>IF(ISBLANK(S193),"",VLOOKUP(S193,'[1]plan_gier'!$X:$AN,15,FALSE))</f>
        <v>9</v>
      </c>
      <c r="AL193" s="46">
        <f>IF(ISBLANK(S193),"",VLOOKUP(S193,'[1]plan_gier'!$X:$AN,16,FALSE))</f>
        <v>0</v>
      </c>
      <c r="AM193" s="46">
        <f>IF(ISBLANK(S193),"",VLOOKUP(S193,'[1]plan_gier'!$X:$AN,17,FALSE))</f>
        <v>0</v>
      </c>
      <c r="AN193" s="94">
        <f aca="true" t="shared" si="27" ref="AN193:AS195">IF(AH193="",0,AH193)</f>
        <v>27</v>
      </c>
      <c r="AO193" s="44">
        <f t="shared" si="27"/>
        <v>25</v>
      </c>
      <c r="AP193" s="95">
        <f t="shared" si="27"/>
        <v>21</v>
      </c>
      <c r="AQ193" s="44">
        <f t="shared" si="27"/>
        <v>9</v>
      </c>
      <c r="AR193" s="95">
        <f t="shared" si="27"/>
        <v>0</v>
      </c>
      <c r="AS193" s="44">
        <f t="shared" si="27"/>
        <v>0</v>
      </c>
      <c r="AT193" s="48">
        <f>SUM(AN193:AS193)</f>
        <v>82</v>
      </c>
      <c r="AU193" s="49">
        <v>1</v>
      </c>
      <c r="AV193" s="96"/>
      <c r="AW193" s="97"/>
      <c r="AX193" s="46">
        <f>IF(AH195&gt;AI195,1,0)+IF(AJ195&gt;AK195,1,0)+IF(AL195&gt;AM195,1,0)</f>
        <v>2</v>
      </c>
      <c r="AY193" s="46">
        <f>AV194</f>
        <v>1</v>
      </c>
      <c r="AZ193" s="46">
        <f>IF(AH193&gt;AI193,1,0)+IF(AJ193&gt;AK193,1,0)+IF(AL193&gt;AM193,1,0)</f>
        <v>2</v>
      </c>
      <c r="BA193" s="47">
        <f>AV195</f>
        <v>0</v>
      </c>
      <c r="BD193" s="45">
        <f>AN193+AP193+AR193+AN195+AP195+AR195</f>
        <v>102</v>
      </c>
      <c r="BE193" s="47">
        <f>AO193+AQ193+AS193+AO195+AQ195+AS195</f>
        <v>88</v>
      </c>
      <c r="BF193" s="45">
        <f>AX193+AZ193</f>
        <v>4</v>
      </c>
      <c r="BG193" s="47">
        <f>AY193+BA193</f>
        <v>1</v>
      </c>
      <c r="BH193" s="45">
        <f>IF(AX193&gt;AY193,1,0)+IF(AZ193&gt;BA193,1,0)</f>
        <v>2</v>
      </c>
      <c r="BI193" s="51">
        <f>IF(AY193&gt;AX193,1,0)+IF(BA193&gt;AZ193,1,0)</f>
        <v>0</v>
      </c>
      <c r="BJ193" s="98">
        <f>IF(BH193+BI193=0,"",IF(BK193=MAX(BK193:BK195),1,IF(BK193=MIN(BK193:BK195),3,2)))</f>
        <v>1</v>
      </c>
      <c r="BK193" s="12">
        <f>IF(BH193+BI193&lt;&gt;0,BH193-BI193+(BF193-BG193)/100+(BD193-BE193)/10000,-2)</f>
        <v>2.0313999999999997</v>
      </c>
    </row>
    <row r="194" spans="1:63" ht="11.25" customHeight="1">
      <c r="A194" s="11">
        <f>S194</f>
        <v>65</v>
      </c>
      <c r="B194" s="2" t="str">
        <f>IF(N194="","",N194)</f>
        <v>I0002</v>
      </c>
      <c r="C194" s="2" t="str">
        <f>IF(N195="","",N195)</f>
        <v>K0003</v>
      </c>
      <c r="D194" s="2" t="str">
        <f>IF(N197="","",N197)</f>
        <v>G0015</v>
      </c>
      <c r="E194" s="2" t="str">
        <f>IF(N198="","",N198)</f>
        <v>O0004</v>
      </c>
      <c r="J194" s="2"/>
      <c r="K194" s="11"/>
      <c r="M194" s="2" t="str">
        <f>N190</f>
        <v>Gra podwójna</v>
      </c>
      <c r="N194" s="29" t="s">
        <v>70</v>
      </c>
      <c r="O194" s="30">
        <f>IF(O189&gt;0,(O189&amp;2)*1,"")</f>
        <v>12</v>
      </c>
      <c r="Q194" s="36">
        <f>IF(AT194&gt;0,"",IF(A194=0,"",IF(VLOOKUP(A194,'[1]plan_gier'!A:S,19,FALSE)="","",VLOOKUP(A194,'[1]plan_gier'!A:S,19,FALSE))))</f>
      </c>
      <c r="R194" s="37" t="s">
        <v>19</v>
      </c>
      <c r="S194" s="84">
        <v>65</v>
      </c>
      <c r="T194" s="236"/>
      <c r="U194" s="228">
        <f>IF(AND(N194&lt;&gt;"",N195=""),CONCATENATE(VLOOKUP(N194,'[1]zawodnicy'!$A:$E,1,FALSE)," ",VLOOKUP(N194,'[1]zawodnicy'!$A:$E,2,FALSE)," ",VLOOKUP(N194,'[1]zawodnicy'!$A:$E,3,FALSE)," - ",VLOOKUP(N194,'[1]zawodnicy'!$A:$E,4,FALSE)),"")</f>
      </c>
      <c r="V194" s="228"/>
      <c r="W194" s="56" t="str">
        <f>IF(SUM(AP195:AQ195)=0,"",AQ195&amp;":"&amp;AP195)</f>
        <v>21:12</v>
      </c>
      <c r="X194" s="82"/>
      <c r="Y194" s="58" t="str">
        <f>IF(SUM(AP194:AQ194)=0,"",AP194&amp;":"&amp;AQ194)</f>
        <v>21:18</v>
      </c>
      <c r="Z194" s="236"/>
      <c r="AA194" s="237"/>
      <c r="AB194" s="237"/>
      <c r="AC194" s="238"/>
      <c r="AD194" s="2"/>
      <c r="AE194" s="24"/>
      <c r="AF194" s="24"/>
      <c r="AG194" s="37" t="s">
        <v>19</v>
      </c>
      <c r="AH194" s="59">
        <f>IF(ISBLANK(S194),"",VLOOKUP(S194,'[1]plan_gier'!$X:$AN,12,FALSE))</f>
        <v>21</v>
      </c>
      <c r="AI194" s="60">
        <f>IF(ISBLANK(S194),"",VLOOKUP(S194,'[1]plan_gier'!$X:$AN,13,FALSE))</f>
        <v>10</v>
      </c>
      <c r="AJ194" s="60">
        <f>IF(ISBLANK(S194),"",VLOOKUP(S194,'[1]plan_gier'!$X:$AN,14,FALSE))</f>
        <v>21</v>
      </c>
      <c r="AK194" s="60">
        <f>IF(ISBLANK(S194),"",VLOOKUP(S194,'[1]plan_gier'!$X:$AN,15,FALSE))</f>
        <v>18</v>
      </c>
      <c r="AL194" s="60">
        <f>IF(ISBLANK(S194),"",VLOOKUP(S194,'[1]plan_gier'!$X:$AN,16,FALSE))</f>
        <v>0</v>
      </c>
      <c r="AM194" s="60">
        <f>IF(ISBLANK(S194),"",VLOOKUP(S194,'[1]plan_gier'!$X:$AN,17,FALSE))</f>
        <v>0</v>
      </c>
      <c r="AN194" s="99">
        <f t="shared" si="27"/>
        <v>21</v>
      </c>
      <c r="AO194" s="60">
        <f t="shared" si="27"/>
        <v>10</v>
      </c>
      <c r="AP194" s="100">
        <f t="shared" si="27"/>
        <v>21</v>
      </c>
      <c r="AQ194" s="60">
        <f t="shared" si="27"/>
        <v>18</v>
      </c>
      <c r="AR194" s="100">
        <f t="shared" si="27"/>
        <v>0</v>
      </c>
      <c r="AS194" s="60">
        <f t="shared" si="27"/>
        <v>0</v>
      </c>
      <c r="AT194" s="48">
        <f>SUM(AN194:AS194)</f>
        <v>70</v>
      </c>
      <c r="AU194" s="49">
        <v>2</v>
      </c>
      <c r="AV194" s="59">
        <f>IF(AH195&lt;AI195,1,0)+IF(AJ195&lt;AK195,1,0)+IF(AL195&lt;AM195,1,0)</f>
        <v>1</v>
      </c>
      <c r="AW194" s="60">
        <f>AX193</f>
        <v>2</v>
      </c>
      <c r="AX194" s="101"/>
      <c r="AY194" s="102"/>
      <c r="AZ194" s="60">
        <f>IF(AH194&gt;AI194,1,0)+IF(AJ194&gt;AK194,1,0)+IF(AL194&gt;AM194,1,0)</f>
        <v>2</v>
      </c>
      <c r="BA194" s="61">
        <f>AX195</f>
        <v>0</v>
      </c>
      <c r="BD194" s="59">
        <f>AN194+AP194+AR194+AO195+AQ195+AS195</f>
        <v>96</v>
      </c>
      <c r="BE194" s="61">
        <f>AO194+AQ194+AS194+AN195+AP195+AR195</f>
        <v>82</v>
      </c>
      <c r="BF194" s="59">
        <f>AV194+AZ194</f>
        <v>3</v>
      </c>
      <c r="BG194" s="61">
        <f>AW194+BA194</f>
        <v>2</v>
      </c>
      <c r="BH194" s="59">
        <f>IF(AV194&gt;AW194,1,0)+IF(AZ194&gt;BA194,1,0)</f>
        <v>1</v>
      </c>
      <c r="BI194" s="65">
        <f>IF(AW194&gt;AV194,1,0)+IF(BA194&gt;AZ194,1,0)</f>
        <v>1</v>
      </c>
      <c r="BJ194" s="66">
        <f>IF(BH194+BI194=0,"",IF(BK194=MAX(BK193:BK195),1,IF(BK194=MIN(BK193:BK195),3,2)))</f>
        <v>2</v>
      </c>
      <c r="BK194" s="12">
        <f>IF(BH194+BI194&lt;&gt;0,BH194-BI194+(BF194-BG194)/100+(BD194-BE194)/10000,-2)</f>
        <v>0.0114</v>
      </c>
    </row>
    <row r="195" spans="1:63" ht="11.25" customHeight="1" thickBot="1">
      <c r="A195" s="11">
        <f>S195</f>
        <v>69</v>
      </c>
      <c r="B195" s="2" t="str">
        <f>IF(N191="","",N191)</f>
        <v>K0012</v>
      </c>
      <c r="C195" s="2" t="str">
        <f>IF(N192="","",N192)</f>
        <v>D0008</v>
      </c>
      <c r="D195" s="2" t="str">
        <f>IF(N194="","",N194)</f>
        <v>I0002</v>
      </c>
      <c r="E195" s="2" t="str">
        <f>IF(N195="","",N195)</f>
        <v>K0003</v>
      </c>
      <c r="I195" s="2" t="str">
        <f>"3"&amp;O189&amp;N190</f>
        <v>31Gra podwójna</v>
      </c>
      <c r="J195" s="2" t="str">
        <f>IF(AC196="","",IF(AC190=3,N191,IF(AC193=3,N194,IF(AC196=3,N197,""))))</f>
        <v>G0015</v>
      </c>
      <c r="K195" s="2" t="str">
        <f>IF(AC196="","",IF(AC190=3,N192,IF(AC193=3,N195,IF(AC196=3,N198,""))))</f>
        <v>O0004</v>
      </c>
      <c r="M195" s="2" t="str">
        <f>N190</f>
        <v>Gra podwójna</v>
      </c>
      <c r="N195" s="32" t="s">
        <v>67</v>
      </c>
      <c r="O195" s="31"/>
      <c r="P195" s="31"/>
      <c r="Q195" s="36">
        <f>IF(AT195&gt;0,"",IF(A195=0,"",IF(VLOOKUP(A195,'[1]plan_gier'!A:S,19,FALSE)="","",VLOOKUP(A195,'[1]plan_gier'!A:S,19,FALSE))))</f>
      </c>
      <c r="R195" s="37" t="s">
        <v>22</v>
      </c>
      <c r="S195" s="84">
        <v>69</v>
      </c>
      <c r="T195" s="236"/>
      <c r="U195" s="231" t="str">
        <f>IF(N195&lt;&gt;"",CONCATENATE(VLOOKUP(N195,'[1]zawodnicy'!$A:$E,1,FALSE)," ",VLOOKUP(N195,'[1]zawodnicy'!$A:$E,2,FALSE)," ",VLOOKUP(N195,'[1]zawodnicy'!$A:$E,3,FALSE)," - ",VLOOKUP(N195,'[1]zawodnicy'!$A:$E,4,FALSE)),"")</f>
        <v>K0003 Robert KARNASIEWICZ - Mielec</v>
      </c>
      <c r="V195" s="231"/>
      <c r="W195" s="67" t="str">
        <f>IF(SUM(AR195:AS195)=0,"",AS195&amp;":"&amp;AR195)</f>
        <v>14:21</v>
      </c>
      <c r="X195" s="82"/>
      <c r="Y195" s="68">
        <f>IF(SUM(AR194:AS194)=0,"",AR194&amp;":"&amp;AS194)</f>
      </c>
      <c r="Z195" s="236"/>
      <c r="AA195" s="237"/>
      <c r="AB195" s="237"/>
      <c r="AC195" s="238"/>
      <c r="AD195" s="2"/>
      <c r="AE195" s="24"/>
      <c r="AF195" s="24"/>
      <c r="AG195" s="37" t="s">
        <v>22</v>
      </c>
      <c r="AH195" s="78">
        <f>IF(ISBLANK(S195),"",VLOOKUP(S195,'[1]plan_gier'!$X:$AN,12,FALSE))</f>
        <v>21</v>
      </c>
      <c r="AI195" s="75">
        <f>IF(ISBLANK(S195),"",VLOOKUP(S195,'[1]plan_gier'!$X:$AN,13,FALSE))</f>
        <v>19</v>
      </c>
      <c r="AJ195" s="75">
        <f>IF(ISBLANK(S195),"",VLOOKUP(S195,'[1]plan_gier'!$X:$AN,14,FALSE))</f>
        <v>12</v>
      </c>
      <c r="AK195" s="75">
        <f>IF(ISBLANK(S195),"",VLOOKUP(S195,'[1]plan_gier'!$X:$AN,15,FALSE))</f>
        <v>21</v>
      </c>
      <c r="AL195" s="75">
        <f>IF(ISBLANK(S195),"",VLOOKUP(S195,'[1]plan_gier'!$X:$AN,16,FALSE))</f>
        <v>21</v>
      </c>
      <c r="AM195" s="75">
        <f>IF(ISBLANK(S195),"",VLOOKUP(S195,'[1]plan_gier'!$X:$AN,17,FALSE))</f>
        <v>14</v>
      </c>
      <c r="AN195" s="103">
        <f t="shared" si="27"/>
        <v>21</v>
      </c>
      <c r="AO195" s="75">
        <f t="shared" si="27"/>
        <v>19</v>
      </c>
      <c r="AP195" s="104">
        <f t="shared" si="27"/>
        <v>12</v>
      </c>
      <c r="AQ195" s="75">
        <f t="shared" si="27"/>
        <v>21</v>
      </c>
      <c r="AR195" s="104">
        <f t="shared" si="27"/>
        <v>21</v>
      </c>
      <c r="AS195" s="75">
        <f t="shared" si="27"/>
        <v>14</v>
      </c>
      <c r="AT195" s="48">
        <f>SUM(AN195:AS195)</f>
        <v>108</v>
      </c>
      <c r="AU195" s="49">
        <v>3</v>
      </c>
      <c r="AV195" s="78">
        <f>IF(AH193&lt;AI193,1,0)+IF(AJ193&lt;AK193,1,0)+IF(AL193&lt;AM193,1,0)</f>
        <v>0</v>
      </c>
      <c r="AW195" s="75">
        <f>AZ193</f>
        <v>2</v>
      </c>
      <c r="AX195" s="75">
        <f>IF(AH194&lt;AI194,1,0)+IF(AJ194&lt;AK194,1,0)+IF(AL194&lt;AM194,1,0)</f>
        <v>0</v>
      </c>
      <c r="AY195" s="75">
        <f>AZ194</f>
        <v>2</v>
      </c>
      <c r="AZ195" s="105"/>
      <c r="BA195" s="106"/>
      <c r="BD195" s="78">
        <f>AO193+AQ193+AS193+AO194+AQ194+AS194</f>
        <v>62</v>
      </c>
      <c r="BE195" s="80">
        <f>AN193+AP193+AR193+AN194+AP194+AR194</f>
        <v>90</v>
      </c>
      <c r="BF195" s="78">
        <f>AV195+AX195</f>
        <v>0</v>
      </c>
      <c r="BG195" s="80">
        <f>AW195+AY195</f>
        <v>4</v>
      </c>
      <c r="BH195" s="78">
        <f>IF(AV195&gt;AW195,1,0)+IF(AX195&gt;AY195,1,0)</f>
        <v>0</v>
      </c>
      <c r="BI195" s="79">
        <f>IF(AW195&gt;AV195,1,0)+IF(AY195&gt;AX195,1,0)</f>
        <v>2</v>
      </c>
      <c r="BJ195" s="81">
        <f>IF(BH195+BI195=0,"",IF(BK195=MAX(BK193:BK195),1,IF(BK195=MIN(BK193:BK195),3,2)))</f>
        <v>3</v>
      </c>
      <c r="BK195" s="12">
        <f>IF(BH195+BI195&lt;&gt;0,BH195-BI195+(BF195-BG195)/100+(BD195-BE195)/10000,-2)</f>
        <v>-2.0428</v>
      </c>
    </row>
    <row r="196" spans="1:59" ht="11.25" customHeight="1" thickBot="1">
      <c r="A196" s="2"/>
      <c r="J196" s="31"/>
      <c r="K196" s="31"/>
      <c r="L196" s="31"/>
      <c r="O196" s="31"/>
      <c r="P196" s="31"/>
      <c r="Q196" s="2"/>
      <c r="R196" s="2"/>
      <c r="S196" s="2"/>
      <c r="T196" s="232">
        <v>3</v>
      </c>
      <c r="U196" s="233" t="str">
        <f>IF(AND(N197&lt;&gt;"",N198&lt;&gt;""),CONCATENATE(VLOOKUP(N197,'[1]zawodnicy'!$A:$E,1,FALSE)," ",VLOOKUP(N197,'[1]zawodnicy'!$A:$E,2,FALSE)," ",VLOOKUP(N197,'[1]zawodnicy'!$A:$E,3,FALSE)," - ",VLOOKUP(N197,'[1]zawodnicy'!$A:$E,4,FALSE)),"")</f>
        <v>G0015 Piotr GŁOWACKI - Tarnowiec</v>
      </c>
      <c r="V196" s="233"/>
      <c r="W196" s="39" t="str">
        <f>IF(SUM(AN193:AO193)=0,"",AO193&amp;":"&amp;AN193)</f>
        <v>25:27</v>
      </c>
      <c r="X196" s="41" t="str">
        <f>IF(SUM(AN194:AO194)=0,"",AO194&amp;":"&amp;AN194)</f>
        <v>10:21</v>
      </c>
      <c r="Y196" s="107"/>
      <c r="Z196" s="232" t="str">
        <f>IF(SUM(AV195:AY195)=0,"",BD195&amp;":"&amp;BE195)</f>
        <v>62:90</v>
      </c>
      <c r="AA196" s="234" t="str">
        <f>IF(SUM(AV195:AY195)=0,"",BF195&amp;":"&amp;BG195)</f>
        <v>0:4</v>
      </c>
      <c r="AB196" s="234" t="str">
        <f>IF(SUM(AV195:AY195)=0,"",BH195&amp;":"&amp;BI195)</f>
        <v>0:2</v>
      </c>
      <c r="AC196" s="227">
        <f>IF(SUM(BH193:BH195)&gt;0,BJ195,"")</f>
        <v>3</v>
      </c>
      <c r="AD196" s="2"/>
      <c r="AE196" s="24"/>
      <c r="AF196" s="24"/>
      <c r="BD196" s="11">
        <f>SUM(BD193:BD195)</f>
        <v>260</v>
      </c>
      <c r="BE196" s="11">
        <f>SUM(BE193:BE195)</f>
        <v>260</v>
      </c>
      <c r="BF196" s="11">
        <f>SUM(BF193:BF195)</f>
        <v>7</v>
      </c>
      <c r="BG196" s="11">
        <f>SUM(BG193:BG195)</f>
        <v>7</v>
      </c>
    </row>
    <row r="197" spans="1:63" ht="11.25" customHeight="1" thickBot="1">
      <c r="A197" s="11"/>
      <c r="J197" s="11"/>
      <c r="K197" s="11"/>
      <c r="L197" s="11"/>
      <c r="N197" s="29" t="s">
        <v>56</v>
      </c>
      <c r="O197" s="30">
        <f>IF(O189&gt;0,(O189&amp;3)*1,"")</f>
        <v>13</v>
      </c>
      <c r="Q197" s="10"/>
      <c r="R197" s="10"/>
      <c r="S197" s="84"/>
      <c r="T197" s="232"/>
      <c r="U197" s="228">
        <f>IF(AND(N197&lt;&gt;"",N198=""),CONCATENATE(VLOOKUP(N197,'[1]zawodnicy'!$A:$E,1,FALSE)," ",VLOOKUP(N197,'[1]zawodnicy'!$A:$E,2,FALSE)," ",VLOOKUP(N197,'[1]zawodnicy'!$A:$E,3,FALSE)," - ",VLOOKUP(N197,'[1]zawodnicy'!$A:$E,4,FALSE)),"")</f>
      </c>
      <c r="V197" s="228"/>
      <c r="W197" s="56" t="str">
        <f>IF(SUM(AP193:AQ193)=0,"",AQ193&amp;":"&amp;AP193)</f>
        <v>9:21</v>
      </c>
      <c r="X197" s="27" t="str">
        <f>IF(SUM(AP194:AQ194)=0,"",AQ194&amp;":"&amp;AP194)</f>
        <v>18:21</v>
      </c>
      <c r="Y197" s="108"/>
      <c r="Z197" s="232"/>
      <c r="AA197" s="234"/>
      <c r="AB197" s="234"/>
      <c r="AC197" s="227"/>
      <c r="AD197" s="2"/>
      <c r="AE197" s="24"/>
      <c r="AF197" s="24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1:63" ht="11.25" customHeight="1" thickBot="1">
      <c r="A198" s="2"/>
      <c r="J198" s="31"/>
      <c r="K198" s="31"/>
      <c r="L198" s="31"/>
      <c r="N198" s="32" t="s">
        <v>51</v>
      </c>
      <c r="O198" s="31"/>
      <c r="P198" s="31"/>
      <c r="Q198" s="2"/>
      <c r="R198" s="2"/>
      <c r="S198" s="2"/>
      <c r="T198" s="232"/>
      <c r="U198" s="229" t="str">
        <f>IF(N198&lt;&gt;"",CONCATENATE(VLOOKUP(N198,'[1]zawodnicy'!$A:$E,1,FALSE)," ",VLOOKUP(N198,'[1]zawodnicy'!$A:$E,2,FALSE)," ",VLOOKUP(N198,'[1]zawodnicy'!$A:$E,3,FALSE)," - ",VLOOKUP(N198,'[1]zawodnicy'!$A:$E,4,FALSE)),"")</f>
        <v>O0004 Krzysztof ORZECHOWICZ - Tarnowiec</v>
      </c>
      <c r="V198" s="229"/>
      <c r="W198" s="86">
        <f>IF(SUM(AR193:AS193)=0,"",AS193&amp;":"&amp;AR193)</f>
      </c>
      <c r="X198" s="87">
        <f>IF(SUM(AR194:AS194)=0,"",AS194&amp;":"&amp;AR194)</f>
      </c>
      <c r="Y198" s="88"/>
      <c r="Z198" s="232"/>
      <c r="AA198" s="234"/>
      <c r="AB198" s="234"/>
      <c r="AC198" s="227"/>
      <c r="AD198" s="2"/>
      <c r="AE198" s="24"/>
      <c r="AF198" s="24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ht="11.25" customHeight="1" thickBot="1"/>
    <row r="200" spans="14:32" ht="11.25" customHeight="1" thickBot="1">
      <c r="N200" s="7"/>
      <c r="O200" s="14">
        <v>2</v>
      </c>
      <c r="Q200" s="245" t="str">
        <f>"Grupa "&amp;O200&amp;"."</f>
        <v>Grupa 2.</v>
      </c>
      <c r="R200" s="245"/>
      <c r="S200" s="245"/>
      <c r="T200" s="15" t="s">
        <v>1</v>
      </c>
      <c r="U200" s="246" t="s">
        <v>2</v>
      </c>
      <c r="V200" s="246"/>
      <c r="W200" s="15">
        <v>1</v>
      </c>
      <c r="X200" s="18">
        <v>2</v>
      </c>
      <c r="Y200" s="16">
        <v>3</v>
      </c>
      <c r="Z200" s="89" t="s">
        <v>3</v>
      </c>
      <c r="AA200" s="22" t="s">
        <v>4</v>
      </c>
      <c r="AB200" s="22" t="s">
        <v>5</v>
      </c>
      <c r="AC200" s="90" t="s">
        <v>6</v>
      </c>
      <c r="AD200" s="2"/>
      <c r="AE200" s="24"/>
      <c r="AF200" s="24"/>
    </row>
    <row r="201" spans="10:45" ht="11.25" customHeight="1" thickBot="1">
      <c r="J201" s="31"/>
      <c r="K201" s="31"/>
      <c r="L201" s="31"/>
      <c r="N201" s="25" t="s">
        <v>73</v>
      </c>
      <c r="Q201" s="247" t="s">
        <v>9</v>
      </c>
      <c r="R201" s="247"/>
      <c r="S201" s="248" t="s">
        <v>10</v>
      </c>
      <c r="T201" s="249">
        <v>1</v>
      </c>
      <c r="U201" s="250" t="str">
        <f>IF(AND(N202&lt;&gt;"",N203&lt;&gt;""),CONCATENATE(VLOOKUP(N202,'[1]zawodnicy'!$A:$E,1,FALSE)," ",VLOOKUP(N202,'[1]zawodnicy'!$A:$E,2,FALSE)," ",VLOOKUP(N202,'[1]zawodnicy'!$A:$E,3,FALSE)," - ",VLOOKUP(N202,'[1]zawodnicy'!$A:$E,4,FALSE)),"")</f>
        <v>S0028 Tobiasz SAŁAGAJ - Mielec</v>
      </c>
      <c r="V201" s="250"/>
      <c r="W201" s="91"/>
      <c r="X201" s="92" t="str">
        <f>IF(SUM(AN206:AO206)=0,"",AN206&amp;":"&amp;AO206)</f>
        <v>21:7</v>
      </c>
      <c r="Y201" s="93" t="str">
        <f>IF(SUM(AN204:AO204)=0,"",AN204&amp;":"&amp;AO204)</f>
        <v>21:9</v>
      </c>
      <c r="Z201" s="249" t="str">
        <f>IF(SUM(AX204:BA204)=0,"",BD204&amp;":"&amp;BE204)</f>
        <v>84:38</v>
      </c>
      <c r="AA201" s="242" t="str">
        <f>IF(SUM(AX204:BA204)=0,"",BF204&amp;":"&amp;BG204)</f>
        <v>4:0</v>
      </c>
      <c r="AB201" s="242" t="str">
        <f>IF(SUM(AX204:BA204)=0,"",BH204&amp;":"&amp;BI204)</f>
        <v>2:0</v>
      </c>
      <c r="AC201" s="243">
        <f>IF(SUM(BH204:BH206)&gt;0,BJ204,"")</f>
        <v>1</v>
      </c>
      <c r="AD201" s="2"/>
      <c r="AE201" s="24"/>
      <c r="AF201" s="24"/>
      <c r="AH201" s="244" t="s">
        <v>7</v>
      </c>
      <c r="AI201" s="244"/>
      <c r="AJ201" s="244"/>
      <c r="AK201" s="244"/>
      <c r="AL201" s="244"/>
      <c r="AM201" s="244"/>
      <c r="AN201" s="244" t="s">
        <v>8</v>
      </c>
      <c r="AO201" s="244"/>
      <c r="AP201" s="244"/>
      <c r="AQ201" s="244"/>
      <c r="AR201" s="244"/>
      <c r="AS201" s="244"/>
    </row>
    <row r="202" spans="9:59" ht="11.25" customHeight="1" thickBot="1">
      <c r="I202" s="2" t="str">
        <f>"1"&amp;O200&amp;N201</f>
        <v>12Gra podwójna</v>
      </c>
      <c r="J202" s="2" t="str">
        <f>IF(AC201="","",IF(AC201=1,N202,IF(AC204=1,N205,IF(AC207=1,N208,""))))</f>
        <v>S0028</v>
      </c>
      <c r="K202" s="2" t="str">
        <f>IF(AC201="","",IF(AC201=1,N203,IF(AC204=1,N206,IF(AC207=1,N209,""))))</f>
        <v>S0029</v>
      </c>
      <c r="L202" s="2"/>
      <c r="N202" s="29" t="s">
        <v>74</v>
      </c>
      <c r="O202" s="30">
        <f>IF(O200&gt;0,(O200&amp;1)*1,"")</f>
        <v>21</v>
      </c>
      <c r="Q202" s="247"/>
      <c r="R202" s="247"/>
      <c r="S202" s="248"/>
      <c r="T202" s="249"/>
      <c r="U202" s="228">
        <f>IF(AND(N202&lt;&gt;"",N203=""),CONCATENATE(VLOOKUP(N202,'[1]zawodnicy'!$A:$E,1,FALSE)," ",VLOOKUP(N202,'[1]zawodnicy'!$A:$E,2,FALSE)," ",VLOOKUP(N202,'[1]zawodnicy'!$A:$E,3,FALSE)," - ",VLOOKUP(N202,'[1]zawodnicy'!$A:$E,4,FALSE)),"")</f>
      </c>
      <c r="V202" s="228"/>
      <c r="W202" s="26"/>
      <c r="X202" s="27" t="str">
        <f>IF(SUM(AP206:AQ206)=0,"",AP206&amp;":"&amp;AQ206)</f>
        <v>21:10</v>
      </c>
      <c r="Y202" s="58" t="str">
        <f>IF(SUM(AP204:AQ204)=0,"",AP204&amp;":"&amp;AQ204)</f>
        <v>21:12</v>
      </c>
      <c r="Z202" s="249"/>
      <c r="AA202" s="242"/>
      <c r="AB202" s="242"/>
      <c r="AC202" s="243"/>
      <c r="AD202" s="2"/>
      <c r="AE202" s="24"/>
      <c r="AF202" s="24"/>
      <c r="BD202" s="11">
        <f>SUM(BD204:BD206)</f>
        <v>182</v>
      </c>
      <c r="BE202" s="11">
        <f>SUM(BE204:BE206)</f>
        <v>182</v>
      </c>
      <c r="BF202" s="11">
        <f>SUM(BF204:BF206)</f>
        <v>6</v>
      </c>
      <c r="BG202" s="11">
        <f>SUM(BG204:BG206)</f>
        <v>6</v>
      </c>
    </row>
    <row r="203" spans="10:63" ht="11.25" customHeight="1" thickBot="1">
      <c r="J203" s="2"/>
      <c r="K203" s="31"/>
      <c r="L203" s="31"/>
      <c r="N203" s="32" t="s">
        <v>11</v>
      </c>
      <c r="O203" s="31"/>
      <c r="P203" s="31"/>
      <c r="Q203" s="247"/>
      <c r="R203" s="247"/>
      <c r="S203" s="248"/>
      <c r="T203" s="249"/>
      <c r="U203" s="231" t="str">
        <f>IF(N203&lt;&gt;"",CONCATENATE(VLOOKUP(N203,'[1]zawodnicy'!$A:$E,1,FALSE)," ",VLOOKUP(N203,'[1]zawodnicy'!$A:$E,2,FALSE)," ",VLOOKUP(N203,'[1]zawodnicy'!$A:$E,3,FALSE)," - ",VLOOKUP(N203,'[1]zawodnicy'!$A:$E,4,FALSE)),"")</f>
        <v>S0029 Patryk STOLARZ - Mielec</v>
      </c>
      <c r="V203" s="231"/>
      <c r="W203" s="26"/>
      <c r="X203" s="33">
        <f>IF(SUM(AR206:AS206)=0,"",AR206&amp;":"&amp;AS206)</f>
      </c>
      <c r="Y203" s="68">
        <f>IF(SUM(AR204:AS204)=0,"",AR204&amp;":"&amp;AS204)</f>
      </c>
      <c r="Z203" s="249"/>
      <c r="AA203" s="242"/>
      <c r="AB203" s="242"/>
      <c r="AC203" s="243"/>
      <c r="AD203" s="2"/>
      <c r="AE203" s="24"/>
      <c r="AF203" s="24"/>
      <c r="AH203" s="239" t="s">
        <v>12</v>
      </c>
      <c r="AI203" s="239"/>
      <c r="AJ203" s="240" t="s">
        <v>13</v>
      </c>
      <c r="AK203" s="240"/>
      <c r="AL203" s="241" t="s">
        <v>14</v>
      </c>
      <c r="AM203" s="241"/>
      <c r="AN203" s="239" t="s">
        <v>12</v>
      </c>
      <c r="AO203" s="239"/>
      <c r="AP203" s="240" t="s">
        <v>13</v>
      </c>
      <c r="AQ203" s="240"/>
      <c r="AR203" s="240" t="s">
        <v>14</v>
      </c>
      <c r="AS203" s="240"/>
      <c r="AT203" s="24"/>
      <c r="AU203" s="24"/>
      <c r="AV203" s="239">
        <v>1</v>
      </c>
      <c r="AW203" s="239"/>
      <c r="AX203" s="240">
        <v>2</v>
      </c>
      <c r="AY203" s="240"/>
      <c r="AZ203" s="241">
        <v>3</v>
      </c>
      <c r="BA203" s="241"/>
      <c r="BD203" s="235" t="s">
        <v>3</v>
      </c>
      <c r="BE203" s="235"/>
      <c r="BF203" s="235" t="s">
        <v>4</v>
      </c>
      <c r="BG203" s="235"/>
      <c r="BH203" s="235" t="s">
        <v>5</v>
      </c>
      <c r="BI203" s="235"/>
      <c r="BJ203" s="35" t="s">
        <v>6</v>
      </c>
      <c r="BK203" s="12">
        <f>SUM(BK204:BK206)</f>
        <v>-1.890306487728477E-16</v>
      </c>
    </row>
    <row r="204" spans="1:63" ht="11.25" customHeight="1">
      <c r="A204" s="11">
        <f>S204</f>
        <v>62</v>
      </c>
      <c r="B204" s="2" t="str">
        <f>IF(N202="","",N202)</f>
        <v>S0028</v>
      </c>
      <c r="C204" s="2" t="str">
        <f>IF(N203="","",N203)</f>
        <v>S0029</v>
      </c>
      <c r="D204" s="2" t="str">
        <f>IF(N208="","",N208)</f>
        <v>G0014</v>
      </c>
      <c r="E204" s="2" t="str">
        <f>IF(N209="","",N209)</f>
        <v>O0006</v>
      </c>
      <c r="I204" s="2" t="str">
        <f>"2"&amp;O200&amp;N201</f>
        <v>22Gra podwójna</v>
      </c>
      <c r="J204" s="2" t="str">
        <f>IF(AC204="","",IF(AC201=2,N202,IF(AC204=2,N205,IF(AC207=2,N208,""))))</f>
        <v>G0014</v>
      </c>
      <c r="K204" s="2" t="str">
        <f>IF(AC204="","",IF(AC201=2,N203,IF(AC204=2,N206,IF(AC207=2,N209,""))))</f>
        <v>O0006</v>
      </c>
      <c r="M204" s="2" t="str">
        <f>N201</f>
        <v>Gra podwójna</v>
      </c>
      <c r="O204" s="31"/>
      <c r="P204" s="31"/>
      <c r="Q204" s="36">
        <f>IF(AT204&gt;0,"",IF(A204=0,"",IF(VLOOKUP(A204,'[1]plan_gier'!A:S,19,FALSE)="","",VLOOKUP(A204,'[1]plan_gier'!A:S,19,FALSE))))</f>
      </c>
      <c r="R204" s="37" t="s">
        <v>15</v>
      </c>
      <c r="S204" s="84">
        <v>62</v>
      </c>
      <c r="T204" s="236">
        <v>2</v>
      </c>
      <c r="U204" s="233" t="str">
        <f>IF(AND(N205&lt;&gt;"",N206&lt;&gt;""),CONCATENATE(VLOOKUP(N205,'[1]zawodnicy'!$A:$E,1,FALSE)," ",VLOOKUP(N205,'[1]zawodnicy'!$A:$E,2,FALSE)," ",VLOOKUP(N205,'[1]zawodnicy'!$A:$E,3,FALSE)," - ",VLOOKUP(N205,'[1]zawodnicy'!$A:$E,4,FALSE)),"")</f>
        <v>P0021 Mikołaj POLAŃSKI - Rzeszów</v>
      </c>
      <c r="V204" s="233"/>
      <c r="W204" s="39" t="str">
        <f>IF(SUM(AN206:AO206)=0,"",AO206&amp;":"&amp;AN206)</f>
        <v>7:21</v>
      </c>
      <c r="X204" s="72"/>
      <c r="Y204" s="42" t="str">
        <f>IF(SUM(AN205:AO205)=0,"",AN205&amp;":"&amp;AO205)</f>
        <v>10:21</v>
      </c>
      <c r="Z204" s="236" t="str">
        <f>IF(SUM(AV205:AW205,AZ205:BA205)=0,"",BD205&amp;":"&amp;BE205)</f>
        <v>35:84</v>
      </c>
      <c r="AA204" s="237" t="str">
        <f>IF(SUM(AV205:AW205,AZ205:BA205)=0,"",BF205&amp;":"&amp;BG205)</f>
        <v>0:4</v>
      </c>
      <c r="AB204" s="237" t="str">
        <f>IF(SUM(AV205:AW205,AZ205:BA205)=0,"",BH205&amp;":"&amp;BI205)</f>
        <v>0:2</v>
      </c>
      <c r="AC204" s="238">
        <f>IF(SUM(BH204:BH206)&gt;0,BJ205,"")</f>
        <v>3</v>
      </c>
      <c r="AD204" s="2"/>
      <c r="AE204" s="24"/>
      <c r="AF204" s="24"/>
      <c r="AG204" s="37" t="s">
        <v>15</v>
      </c>
      <c r="AH204" s="45">
        <f>IF(ISBLANK(S204),"",VLOOKUP(S204,'[1]plan_gier'!$X:$AN,12,FALSE))</f>
        <v>21</v>
      </c>
      <c r="AI204" s="46">
        <f>IF(ISBLANK(S204),"",VLOOKUP(S204,'[1]plan_gier'!$X:$AN,13,FALSE))</f>
        <v>9</v>
      </c>
      <c r="AJ204" s="46">
        <f>IF(ISBLANK(S204),"",VLOOKUP(S204,'[1]plan_gier'!$X:$AN,14,FALSE))</f>
        <v>21</v>
      </c>
      <c r="AK204" s="46">
        <f>IF(ISBLANK(S204),"",VLOOKUP(S204,'[1]plan_gier'!$X:$AN,15,FALSE))</f>
        <v>12</v>
      </c>
      <c r="AL204" s="46">
        <f>IF(ISBLANK(S204),"",VLOOKUP(S204,'[1]plan_gier'!$X:$AN,16,FALSE))</f>
        <v>0</v>
      </c>
      <c r="AM204" s="46">
        <f>IF(ISBLANK(S204),"",VLOOKUP(S204,'[1]plan_gier'!$X:$AN,17,FALSE))</f>
        <v>0</v>
      </c>
      <c r="AN204" s="94">
        <f aca="true" t="shared" si="28" ref="AN204:AS206">IF(AH204="",0,AH204)</f>
        <v>21</v>
      </c>
      <c r="AO204" s="44">
        <f t="shared" si="28"/>
        <v>9</v>
      </c>
      <c r="AP204" s="95">
        <f t="shared" si="28"/>
        <v>21</v>
      </c>
      <c r="AQ204" s="44">
        <f t="shared" si="28"/>
        <v>12</v>
      </c>
      <c r="AR204" s="95">
        <f t="shared" si="28"/>
        <v>0</v>
      </c>
      <c r="AS204" s="44">
        <f t="shared" si="28"/>
        <v>0</v>
      </c>
      <c r="AT204" s="48">
        <f>SUM(AN204:AS204)</f>
        <v>63</v>
      </c>
      <c r="AU204" s="49">
        <v>1</v>
      </c>
      <c r="AV204" s="96"/>
      <c r="AW204" s="97"/>
      <c r="AX204" s="46">
        <f>IF(AH206&gt;AI206,1,0)+IF(AJ206&gt;AK206,1,0)+IF(AL206&gt;AM206,1,0)</f>
        <v>2</v>
      </c>
      <c r="AY204" s="46">
        <f>AV205</f>
        <v>0</v>
      </c>
      <c r="AZ204" s="46">
        <f>IF(AH204&gt;AI204,1,0)+IF(AJ204&gt;AK204,1,0)+IF(AL204&gt;AM204,1,0)</f>
        <v>2</v>
      </c>
      <c r="BA204" s="47">
        <f>AV206</f>
        <v>0</v>
      </c>
      <c r="BD204" s="45">
        <f>AN204+AP204+AR204+AN206+AP206+AR206</f>
        <v>84</v>
      </c>
      <c r="BE204" s="47">
        <f>AO204+AQ204+AS204+AO206+AQ206+AS206</f>
        <v>38</v>
      </c>
      <c r="BF204" s="45">
        <f>AX204+AZ204</f>
        <v>4</v>
      </c>
      <c r="BG204" s="47">
        <f>AY204+BA204</f>
        <v>0</v>
      </c>
      <c r="BH204" s="45">
        <f>IF(AX204&gt;AY204,1,0)+IF(AZ204&gt;BA204,1,0)</f>
        <v>2</v>
      </c>
      <c r="BI204" s="51">
        <f>IF(AY204&gt;AX204,1,0)+IF(BA204&gt;AZ204,1,0)</f>
        <v>0</v>
      </c>
      <c r="BJ204" s="98">
        <f>IF(BH204+BI204=0,"",IF(BK204=MAX(BK204:BK206),1,IF(BK204=MIN(BK204:BK206),3,2)))</f>
        <v>1</v>
      </c>
      <c r="BK204" s="12">
        <f>IF(BH204+BI204&lt;&gt;0,BH204-BI204+(BF204-BG204)/100+(BD204-BE204)/10000,-2)</f>
        <v>2.0446</v>
      </c>
    </row>
    <row r="205" spans="1:63" ht="11.25" customHeight="1">
      <c r="A205" s="11">
        <f>S205</f>
        <v>66</v>
      </c>
      <c r="B205" s="2" t="str">
        <f>IF(N205="","",N205)</f>
        <v>P0021</v>
      </c>
      <c r="C205" s="2" t="str">
        <f>IF(N206="","",N206)</f>
        <v>W0013</v>
      </c>
      <c r="D205" s="2" t="str">
        <f>IF(N208="","",N208)</f>
        <v>G0014</v>
      </c>
      <c r="E205" s="2" t="str">
        <f>IF(N209="","",N209)</f>
        <v>O0006</v>
      </c>
      <c r="J205" s="2"/>
      <c r="K205" s="11"/>
      <c r="M205" s="2" t="str">
        <f>N201</f>
        <v>Gra podwójna</v>
      </c>
      <c r="N205" s="29" t="s">
        <v>29</v>
      </c>
      <c r="O205" s="30">
        <f>IF(O200&gt;0,(O200&amp;2)*1,"")</f>
        <v>22</v>
      </c>
      <c r="Q205" s="36">
        <f>IF(AT205&gt;0,"",IF(A205=0,"",IF(VLOOKUP(A205,'[1]plan_gier'!A:S,19,FALSE)="","",VLOOKUP(A205,'[1]plan_gier'!A:S,19,FALSE))))</f>
      </c>
      <c r="R205" s="37" t="s">
        <v>19</v>
      </c>
      <c r="S205" s="84">
        <v>66</v>
      </c>
      <c r="T205" s="236"/>
      <c r="U205" s="228">
        <f>IF(AND(N205&lt;&gt;"",N206=""),CONCATENATE(VLOOKUP(N205,'[1]zawodnicy'!$A:$E,1,FALSE)," ",VLOOKUP(N205,'[1]zawodnicy'!$A:$E,2,FALSE)," ",VLOOKUP(N205,'[1]zawodnicy'!$A:$E,3,FALSE)," - ",VLOOKUP(N205,'[1]zawodnicy'!$A:$E,4,FALSE)),"")</f>
      </c>
      <c r="V205" s="228"/>
      <c r="W205" s="56" t="str">
        <f>IF(SUM(AP206:AQ206)=0,"",AQ206&amp;":"&amp;AP206)</f>
        <v>10:21</v>
      </c>
      <c r="X205" s="82"/>
      <c r="Y205" s="58" t="str">
        <f>IF(SUM(AP205:AQ205)=0,"",AP205&amp;":"&amp;AQ205)</f>
        <v>8:21</v>
      </c>
      <c r="Z205" s="236"/>
      <c r="AA205" s="237"/>
      <c r="AB205" s="237"/>
      <c r="AC205" s="238"/>
      <c r="AD205" s="2"/>
      <c r="AE205" s="24"/>
      <c r="AF205" s="24"/>
      <c r="AG205" s="37" t="s">
        <v>19</v>
      </c>
      <c r="AH205" s="59">
        <f>IF(ISBLANK(S205),"",VLOOKUP(S205,'[1]plan_gier'!$X:$AN,12,FALSE))</f>
        <v>10</v>
      </c>
      <c r="AI205" s="60">
        <f>IF(ISBLANK(S205),"",VLOOKUP(S205,'[1]plan_gier'!$X:$AN,13,FALSE))</f>
        <v>21</v>
      </c>
      <c r="AJ205" s="60">
        <f>IF(ISBLANK(S205),"",VLOOKUP(S205,'[1]plan_gier'!$X:$AN,14,FALSE))</f>
        <v>8</v>
      </c>
      <c r="AK205" s="60">
        <f>IF(ISBLANK(S205),"",VLOOKUP(S205,'[1]plan_gier'!$X:$AN,15,FALSE))</f>
        <v>21</v>
      </c>
      <c r="AL205" s="60">
        <f>IF(ISBLANK(S205),"",VLOOKUP(S205,'[1]plan_gier'!$X:$AN,16,FALSE))</f>
        <v>0</v>
      </c>
      <c r="AM205" s="60">
        <f>IF(ISBLANK(S205),"",VLOOKUP(S205,'[1]plan_gier'!$X:$AN,17,FALSE))</f>
        <v>0</v>
      </c>
      <c r="AN205" s="99">
        <f t="shared" si="28"/>
        <v>10</v>
      </c>
      <c r="AO205" s="60">
        <f t="shared" si="28"/>
        <v>21</v>
      </c>
      <c r="AP205" s="100">
        <f t="shared" si="28"/>
        <v>8</v>
      </c>
      <c r="AQ205" s="60">
        <f t="shared" si="28"/>
        <v>21</v>
      </c>
      <c r="AR205" s="100">
        <f t="shared" si="28"/>
        <v>0</v>
      </c>
      <c r="AS205" s="60">
        <f t="shared" si="28"/>
        <v>0</v>
      </c>
      <c r="AT205" s="48">
        <f>SUM(AN205:AS205)</f>
        <v>60</v>
      </c>
      <c r="AU205" s="49">
        <v>2</v>
      </c>
      <c r="AV205" s="59">
        <f>IF(AH206&lt;AI206,1,0)+IF(AJ206&lt;AK206,1,0)+IF(AL206&lt;AM206,1,0)</f>
        <v>0</v>
      </c>
      <c r="AW205" s="60">
        <f>AX204</f>
        <v>2</v>
      </c>
      <c r="AX205" s="101"/>
      <c r="AY205" s="102"/>
      <c r="AZ205" s="60">
        <f>IF(AH205&gt;AI205,1,0)+IF(AJ205&gt;AK205,1,0)+IF(AL205&gt;AM205,1,0)</f>
        <v>0</v>
      </c>
      <c r="BA205" s="61">
        <f>AX206</f>
        <v>2</v>
      </c>
      <c r="BD205" s="59">
        <f>AN205+AP205+AR205+AO206+AQ206+AS206</f>
        <v>35</v>
      </c>
      <c r="BE205" s="61">
        <f>AO205+AQ205+AS205+AN206+AP206+AR206</f>
        <v>84</v>
      </c>
      <c r="BF205" s="59">
        <f>AV205+AZ205</f>
        <v>0</v>
      </c>
      <c r="BG205" s="61">
        <f>AW205+BA205</f>
        <v>4</v>
      </c>
      <c r="BH205" s="59">
        <f>IF(AV205&gt;AW205,1,0)+IF(AZ205&gt;BA205,1,0)</f>
        <v>0</v>
      </c>
      <c r="BI205" s="65">
        <f>IF(AW205&gt;AV205,1,0)+IF(BA205&gt;AZ205,1,0)</f>
        <v>2</v>
      </c>
      <c r="BJ205" s="66">
        <f>IF(BH205+BI205=0,"",IF(BK205=MAX(BK204:BK206),1,IF(BK205=MIN(BK204:BK206),3,2)))</f>
        <v>3</v>
      </c>
      <c r="BK205" s="12">
        <f>IF(BH205+BI205&lt;&gt;0,BH205-BI205+(BF205-BG205)/100+(BD205-BE205)/10000,-2)</f>
        <v>-2.0449</v>
      </c>
    </row>
    <row r="206" spans="1:63" ht="11.25" customHeight="1" thickBot="1">
      <c r="A206" s="11">
        <f>S206</f>
        <v>70</v>
      </c>
      <c r="B206" s="2" t="str">
        <f>IF(N202="","",N202)</f>
        <v>S0028</v>
      </c>
      <c r="C206" s="2" t="str">
        <f>IF(N203="","",N203)</f>
        <v>S0029</v>
      </c>
      <c r="D206" s="2" t="str">
        <f>IF(N205="","",N205)</f>
        <v>P0021</v>
      </c>
      <c r="E206" s="2" t="str">
        <f>IF(N206="","",N206)</f>
        <v>W0013</v>
      </c>
      <c r="I206" s="2" t="str">
        <f>"3"&amp;O200&amp;N201</f>
        <v>32Gra podwójna</v>
      </c>
      <c r="J206" s="2" t="str">
        <f>IF(AC207="","",IF(AC201=3,N202,IF(AC204=3,N205,IF(AC207=3,N208,""))))</f>
        <v>P0021</v>
      </c>
      <c r="K206" s="2" t="str">
        <f>IF(AC207="","",IF(AC201=3,N203,IF(AC204=3,N206,IF(AC207=3,N209,""))))</f>
        <v>W0013</v>
      </c>
      <c r="M206" s="2" t="str">
        <f>N201</f>
        <v>Gra podwójna</v>
      </c>
      <c r="N206" s="32" t="s">
        <v>23</v>
      </c>
      <c r="O206" s="31"/>
      <c r="P206" s="31"/>
      <c r="Q206" s="36">
        <f>IF(AT206&gt;0,"",IF(A206=0,"",IF(VLOOKUP(A206,'[1]plan_gier'!A:S,19,FALSE)="","",VLOOKUP(A206,'[1]plan_gier'!A:S,19,FALSE))))</f>
      </c>
      <c r="R206" s="37" t="s">
        <v>22</v>
      </c>
      <c r="S206" s="84">
        <v>70</v>
      </c>
      <c r="T206" s="236"/>
      <c r="U206" s="231" t="str">
        <f>IF(N206&lt;&gt;"",CONCATENATE(VLOOKUP(N206,'[1]zawodnicy'!$A:$E,1,FALSE)," ",VLOOKUP(N206,'[1]zawodnicy'!$A:$E,2,FALSE)," ",VLOOKUP(N206,'[1]zawodnicy'!$A:$E,3,FALSE)," - ",VLOOKUP(N206,'[1]zawodnicy'!$A:$E,4,FALSE)),"")</f>
        <v>W0013 Olaf WARNECKI - Rzeszów</v>
      </c>
      <c r="V206" s="231"/>
      <c r="W206" s="67">
        <f>IF(SUM(AR206:AS206)=0,"",AS206&amp;":"&amp;AR206)</f>
      </c>
      <c r="X206" s="82"/>
      <c r="Y206" s="68">
        <f>IF(SUM(AR205:AS205)=0,"",AR205&amp;":"&amp;AS205)</f>
      </c>
      <c r="Z206" s="236"/>
      <c r="AA206" s="237"/>
      <c r="AB206" s="237"/>
      <c r="AC206" s="238"/>
      <c r="AD206" s="2"/>
      <c r="AE206" s="24"/>
      <c r="AF206" s="24"/>
      <c r="AG206" s="37" t="s">
        <v>22</v>
      </c>
      <c r="AH206" s="78">
        <f>IF(ISBLANK(S206),"",VLOOKUP(S206,'[1]plan_gier'!$X:$AN,12,FALSE))</f>
        <v>21</v>
      </c>
      <c r="AI206" s="75">
        <f>IF(ISBLANK(S206),"",VLOOKUP(S206,'[1]plan_gier'!$X:$AN,13,FALSE))</f>
        <v>7</v>
      </c>
      <c r="AJ206" s="75">
        <f>IF(ISBLANK(S206),"",VLOOKUP(S206,'[1]plan_gier'!$X:$AN,14,FALSE))</f>
        <v>21</v>
      </c>
      <c r="AK206" s="75">
        <f>IF(ISBLANK(S206),"",VLOOKUP(S206,'[1]plan_gier'!$X:$AN,15,FALSE))</f>
        <v>10</v>
      </c>
      <c r="AL206" s="75">
        <f>IF(ISBLANK(S206),"",VLOOKUP(S206,'[1]plan_gier'!$X:$AN,16,FALSE))</f>
        <v>0</v>
      </c>
      <c r="AM206" s="75">
        <f>IF(ISBLANK(S206),"",VLOOKUP(S206,'[1]plan_gier'!$X:$AN,17,FALSE))</f>
        <v>0</v>
      </c>
      <c r="AN206" s="103">
        <f t="shared" si="28"/>
        <v>21</v>
      </c>
      <c r="AO206" s="75">
        <f t="shared" si="28"/>
        <v>7</v>
      </c>
      <c r="AP206" s="104">
        <f t="shared" si="28"/>
        <v>21</v>
      </c>
      <c r="AQ206" s="75">
        <f t="shared" si="28"/>
        <v>10</v>
      </c>
      <c r="AR206" s="104">
        <f t="shared" si="28"/>
        <v>0</v>
      </c>
      <c r="AS206" s="75">
        <f t="shared" si="28"/>
        <v>0</v>
      </c>
      <c r="AT206" s="48">
        <f>SUM(AN206:AS206)</f>
        <v>59</v>
      </c>
      <c r="AU206" s="49">
        <v>3</v>
      </c>
      <c r="AV206" s="78">
        <f>IF(AH204&lt;AI204,1,0)+IF(AJ204&lt;AK204,1,0)+IF(AL204&lt;AM204,1,0)</f>
        <v>0</v>
      </c>
      <c r="AW206" s="75">
        <f>AZ204</f>
        <v>2</v>
      </c>
      <c r="AX206" s="75">
        <f>IF(AH205&lt;AI205,1,0)+IF(AJ205&lt;AK205,1,0)+IF(AL205&lt;AM205,1,0)</f>
        <v>2</v>
      </c>
      <c r="AY206" s="75">
        <f>AZ205</f>
        <v>0</v>
      </c>
      <c r="AZ206" s="105"/>
      <c r="BA206" s="106"/>
      <c r="BD206" s="78">
        <f>AO204+AQ204+AS204+AO205+AQ205+AS205</f>
        <v>63</v>
      </c>
      <c r="BE206" s="80">
        <f>AN204+AP204+AR204+AN205+AP205+AR205</f>
        <v>60</v>
      </c>
      <c r="BF206" s="78">
        <f>AV206+AX206</f>
        <v>2</v>
      </c>
      <c r="BG206" s="80">
        <f>AW206+AY206</f>
        <v>2</v>
      </c>
      <c r="BH206" s="78">
        <f>IF(AV206&gt;AW206,1,0)+IF(AX206&gt;AY206,1,0)</f>
        <v>1</v>
      </c>
      <c r="BI206" s="79">
        <f>IF(AW206&gt;AV206,1,0)+IF(AY206&gt;AX206,1,0)</f>
        <v>1</v>
      </c>
      <c r="BJ206" s="81">
        <f>IF(BH206+BI206=0,"",IF(BK206=MAX(BK204:BK206),1,IF(BK206=MIN(BK204:BK206),3,2)))</f>
        <v>2</v>
      </c>
      <c r="BK206" s="12">
        <f>IF(BH206+BI206&lt;&gt;0,BH206-BI206+(BF206-BG206)/100+(BD206-BE206)/10000,-2)</f>
        <v>0.0003</v>
      </c>
    </row>
    <row r="207" spans="1:59" ht="11.25" customHeight="1" thickBot="1">
      <c r="A207" s="2"/>
      <c r="J207" s="31"/>
      <c r="K207" s="31"/>
      <c r="L207" s="31"/>
      <c r="O207" s="31"/>
      <c r="P207" s="31"/>
      <c r="Q207" s="2"/>
      <c r="R207" s="2"/>
      <c r="S207" s="2"/>
      <c r="T207" s="232">
        <v>3</v>
      </c>
      <c r="U207" s="233" t="str">
        <f>IF(AND(N208&lt;&gt;"",N209&lt;&gt;""),CONCATENATE(VLOOKUP(N208,'[1]zawodnicy'!$A:$E,1,FALSE)," ",VLOOKUP(N208,'[1]zawodnicy'!$A:$E,2,FALSE)," ",VLOOKUP(N208,'[1]zawodnicy'!$A:$E,3,FALSE)," - ",VLOOKUP(N208,'[1]zawodnicy'!$A:$E,4,FALSE)),"")</f>
        <v>G0014 Eryk GŁOWACKI - Tarnowiec</v>
      </c>
      <c r="V207" s="233"/>
      <c r="W207" s="39" t="str">
        <f>IF(SUM(AN204:AO204)=0,"",AO204&amp;":"&amp;AN204)</f>
        <v>9:21</v>
      </c>
      <c r="X207" s="41" t="str">
        <f>IF(SUM(AN205:AO205)=0,"",AO205&amp;":"&amp;AN205)</f>
        <v>21:10</v>
      </c>
      <c r="Y207" s="107"/>
      <c r="Z207" s="232" t="str">
        <f>IF(SUM(AV206:AY206)=0,"",BD206&amp;":"&amp;BE206)</f>
        <v>63:60</v>
      </c>
      <c r="AA207" s="234" t="str">
        <f>IF(SUM(AV206:AY206)=0,"",BF206&amp;":"&amp;BG206)</f>
        <v>2:2</v>
      </c>
      <c r="AB207" s="234" t="str">
        <f>IF(SUM(AV206:AY206)=0,"",BH206&amp;":"&amp;BI206)</f>
        <v>1:1</v>
      </c>
      <c r="AC207" s="227">
        <f>IF(SUM(BH204:BH206)&gt;0,BJ206,"")</f>
        <v>2</v>
      </c>
      <c r="AD207" s="2"/>
      <c r="AE207" s="24"/>
      <c r="AF207" s="24"/>
      <c r="BD207" s="11">
        <f>SUM(BD204:BD206)</f>
        <v>182</v>
      </c>
      <c r="BE207" s="11">
        <f>SUM(BE204:BE206)</f>
        <v>182</v>
      </c>
      <c r="BF207" s="11">
        <f>SUM(BF204:BF206)</f>
        <v>6</v>
      </c>
      <c r="BG207" s="11">
        <f>SUM(BG204:BG206)</f>
        <v>6</v>
      </c>
    </row>
    <row r="208" spans="1:63" ht="11.25" customHeight="1" thickBot="1">
      <c r="A208" s="11"/>
      <c r="J208" s="11"/>
      <c r="K208" s="11"/>
      <c r="L208" s="11"/>
      <c r="N208" s="29" t="s">
        <v>26</v>
      </c>
      <c r="O208" s="30">
        <f>IF(O200&gt;0,(O200&amp;3)*1,"")</f>
        <v>23</v>
      </c>
      <c r="Q208" s="10"/>
      <c r="R208" s="10"/>
      <c r="S208" s="84"/>
      <c r="T208" s="232"/>
      <c r="U208" s="228">
        <f>IF(AND(N208&lt;&gt;"",N209=""),CONCATENATE(VLOOKUP(N208,'[1]zawodnicy'!$A:$E,1,FALSE)," ",VLOOKUP(N208,'[1]zawodnicy'!$A:$E,2,FALSE)," ",VLOOKUP(N208,'[1]zawodnicy'!$A:$E,3,FALSE)," - ",VLOOKUP(N208,'[1]zawodnicy'!$A:$E,4,FALSE)),"")</f>
      </c>
      <c r="V208" s="228"/>
      <c r="W208" s="56" t="str">
        <f>IF(SUM(AP204:AQ204)=0,"",AQ204&amp;":"&amp;AP204)</f>
        <v>12:21</v>
      </c>
      <c r="X208" s="27" t="str">
        <f>IF(SUM(AP205:AQ205)=0,"",AQ205&amp;":"&amp;AP205)</f>
        <v>21:8</v>
      </c>
      <c r="Y208" s="108"/>
      <c r="Z208" s="232"/>
      <c r="AA208" s="234"/>
      <c r="AB208" s="234"/>
      <c r="AC208" s="227"/>
      <c r="AD208" s="2"/>
      <c r="AE208" s="24"/>
      <c r="AF208" s="24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1:63" ht="11.25" customHeight="1" thickBot="1">
      <c r="A209" s="2"/>
      <c r="J209" s="31"/>
      <c r="K209" s="31"/>
      <c r="L209" s="31"/>
      <c r="N209" s="32" t="s">
        <v>28</v>
      </c>
      <c r="O209" s="31"/>
      <c r="P209" s="31"/>
      <c r="Q209" s="2"/>
      <c r="R209" s="2"/>
      <c r="S209" s="2"/>
      <c r="T209" s="232"/>
      <c r="U209" s="229" t="str">
        <f>IF(N209&lt;&gt;"",CONCATENATE(VLOOKUP(N209,'[1]zawodnicy'!$A:$E,1,FALSE)," ",VLOOKUP(N209,'[1]zawodnicy'!$A:$E,2,FALSE)," ",VLOOKUP(N209,'[1]zawodnicy'!$A:$E,3,FALSE)," - ",VLOOKUP(N209,'[1]zawodnicy'!$A:$E,4,FALSE)),"")</f>
        <v>O0006 Jessica ORZECHOWICZ - Tarnowiec</v>
      </c>
      <c r="V209" s="229"/>
      <c r="W209" s="86">
        <f>IF(SUM(AR204:AS204)=0,"",AS204&amp;":"&amp;AR204)</f>
      </c>
      <c r="X209" s="87">
        <f>IF(SUM(AR205:AS205)=0,"",AS205&amp;":"&amp;AR205)</f>
      </c>
      <c r="Y209" s="88"/>
      <c r="Z209" s="232"/>
      <c r="AA209" s="234"/>
      <c r="AB209" s="234"/>
      <c r="AC209" s="227"/>
      <c r="AD209" s="2"/>
      <c r="AE209" s="24"/>
      <c r="AF209" s="24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ht="11.25" customHeight="1" thickBot="1"/>
    <row r="211" spans="14:32" ht="11.25" customHeight="1" thickBot="1">
      <c r="N211" s="7"/>
      <c r="O211" s="14">
        <v>3</v>
      </c>
      <c r="Q211" s="245" t="str">
        <f>"Grupa "&amp;O211&amp;"."</f>
        <v>Grupa 3.</v>
      </c>
      <c r="R211" s="245"/>
      <c r="S211" s="245"/>
      <c r="T211" s="15" t="s">
        <v>1</v>
      </c>
      <c r="U211" s="246" t="s">
        <v>2</v>
      </c>
      <c r="V211" s="246"/>
      <c r="W211" s="15">
        <v>1</v>
      </c>
      <c r="X211" s="18">
        <v>2</v>
      </c>
      <c r="Y211" s="16">
        <v>3</v>
      </c>
      <c r="Z211" s="89" t="s">
        <v>3</v>
      </c>
      <c r="AA211" s="22" t="s">
        <v>4</v>
      </c>
      <c r="AB211" s="22" t="s">
        <v>5</v>
      </c>
      <c r="AC211" s="90" t="s">
        <v>6</v>
      </c>
      <c r="AD211" s="2"/>
      <c r="AE211" s="24"/>
      <c r="AF211" s="24"/>
    </row>
    <row r="212" spans="10:45" ht="11.25" customHeight="1" thickBot="1">
      <c r="J212" s="31"/>
      <c r="K212" s="31"/>
      <c r="L212" s="31"/>
      <c r="N212" s="25" t="s">
        <v>73</v>
      </c>
      <c r="Q212" s="247" t="s">
        <v>9</v>
      </c>
      <c r="R212" s="247"/>
      <c r="S212" s="248" t="s">
        <v>10</v>
      </c>
      <c r="T212" s="249">
        <v>1</v>
      </c>
      <c r="U212" s="250" t="str">
        <f>IF(AND(N213&lt;&gt;"",N214&lt;&gt;""),CONCATENATE(VLOOKUP(N213,'[1]zawodnicy'!$A:$E,1,FALSE)," ",VLOOKUP(N213,'[1]zawodnicy'!$A:$E,2,FALSE)," ",VLOOKUP(N213,'[1]zawodnicy'!$A:$E,3,FALSE)," - ",VLOOKUP(N213,'[1]zawodnicy'!$A:$E,4,FALSE)),"")</f>
        <v>S0033 Mikołaj STRAŻ - Mielec</v>
      </c>
      <c r="V212" s="250"/>
      <c r="W212" s="91"/>
      <c r="X212" s="92" t="str">
        <f>IF(SUM(AN217:AO217)=0,"",AN217&amp;":"&amp;AO217)</f>
        <v>15:21</v>
      </c>
      <c r="Y212" s="93" t="str">
        <f>IF(SUM(AN215:AO215)=0,"",AN215&amp;":"&amp;AO215)</f>
        <v>13:21</v>
      </c>
      <c r="Z212" s="249" t="str">
        <f>IF(SUM(AX215:BA215)=0,"",BD215&amp;":"&amp;BE215)</f>
        <v>89:98</v>
      </c>
      <c r="AA212" s="242" t="str">
        <f>IF(SUM(AX215:BA215)=0,"",BF215&amp;":"&amp;BG215)</f>
        <v>2:3</v>
      </c>
      <c r="AB212" s="242" t="str">
        <f>IF(SUM(AX215:BA215)=0,"",BH215&amp;":"&amp;BI215)</f>
        <v>1:1</v>
      </c>
      <c r="AC212" s="243">
        <f>IF(SUM(BH215:BH217)&gt;0,BJ215,"")</f>
        <v>2</v>
      </c>
      <c r="AD212" s="2"/>
      <c r="AE212" s="24"/>
      <c r="AF212" s="24"/>
      <c r="AH212" s="244" t="s">
        <v>7</v>
      </c>
      <c r="AI212" s="244"/>
      <c r="AJ212" s="244"/>
      <c r="AK212" s="244"/>
      <c r="AL212" s="244"/>
      <c r="AM212" s="244"/>
      <c r="AN212" s="244" t="s">
        <v>8</v>
      </c>
      <c r="AO212" s="244"/>
      <c r="AP212" s="244"/>
      <c r="AQ212" s="244"/>
      <c r="AR212" s="244"/>
      <c r="AS212" s="244"/>
    </row>
    <row r="213" spans="9:59" ht="11.25" customHeight="1" thickBot="1">
      <c r="I213" s="2" t="str">
        <f>"1"&amp;O211&amp;N212</f>
        <v>13Gra podwójna</v>
      </c>
      <c r="J213" s="2" t="str">
        <f>IF(AC212="","",IF(AC212=1,N213,IF(AC215=1,N216,IF(AC218=1,N219,""))))</f>
        <v>G0011</v>
      </c>
      <c r="K213" s="2" t="str">
        <f>IF(AC212="","",IF(AC212=1,N214,IF(AC215=1,N217,IF(AC218=1,N220,""))))</f>
        <v>S0035</v>
      </c>
      <c r="L213" s="2"/>
      <c r="N213" s="29" t="s">
        <v>25</v>
      </c>
      <c r="O213" s="30">
        <f>IF(O211&gt;0,(O211&amp;1)*1,"")</f>
        <v>31</v>
      </c>
      <c r="Q213" s="247"/>
      <c r="R213" s="247"/>
      <c r="S213" s="248"/>
      <c r="T213" s="249"/>
      <c r="U213" s="228">
        <f>IF(AND(N213&lt;&gt;"",N214=""),CONCATENATE(VLOOKUP(N213,'[1]zawodnicy'!$A:$E,1,FALSE)," ",VLOOKUP(N213,'[1]zawodnicy'!$A:$E,2,FALSE)," ",VLOOKUP(N213,'[1]zawodnicy'!$A:$E,3,FALSE)," - ",VLOOKUP(N213,'[1]zawodnicy'!$A:$E,4,FALSE)),"")</f>
      </c>
      <c r="V213" s="228"/>
      <c r="W213" s="26"/>
      <c r="X213" s="27" t="str">
        <f>IF(SUM(AP217:AQ217)=0,"",AP217&amp;":"&amp;AQ217)</f>
        <v>21:18</v>
      </c>
      <c r="Y213" s="58" t="str">
        <f>IF(SUM(AP215:AQ215)=0,"",AP215&amp;":"&amp;AQ215)</f>
        <v>19:21</v>
      </c>
      <c r="Z213" s="249"/>
      <c r="AA213" s="242"/>
      <c r="AB213" s="242"/>
      <c r="AC213" s="243"/>
      <c r="AD213" s="2"/>
      <c r="AE213" s="24"/>
      <c r="AF213" s="24"/>
      <c r="BD213" s="11">
        <f>SUM(BD215:BD217)</f>
        <v>259</v>
      </c>
      <c r="BE213" s="11">
        <f>SUM(BE215:BE217)</f>
        <v>259</v>
      </c>
      <c r="BF213" s="11">
        <f>SUM(BF215:BF217)</f>
        <v>7</v>
      </c>
      <c r="BG213" s="11">
        <f>SUM(BG215:BG217)</f>
        <v>7</v>
      </c>
    </row>
    <row r="214" spans="10:63" ht="11.25" customHeight="1" thickBot="1">
      <c r="J214" s="2"/>
      <c r="K214" s="31"/>
      <c r="L214" s="31"/>
      <c r="N214" s="32" t="s">
        <v>75</v>
      </c>
      <c r="O214" s="31"/>
      <c r="P214" s="31"/>
      <c r="Q214" s="247"/>
      <c r="R214" s="247"/>
      <c r="S214" s="248"/>
      <c r="T214" s="249"/>
      <c r="U214" s="231" t="str">
        <f>IF(N214&lt;&gt;"",CONCATENATE(VLOOKUP(N214,'[1]zawodnicy'!$A:$E,1,FALSE)," ",VLOOKUP(N214,'[1]zawodnicy'!$A:$E,2,FALSE)," ",VLOOKUP(N214,'[1]zawodnicy'!$A:$E,3,FALSE)," - ",VLOOKUP(N214,'[1]zawodnicy'!$A:$E,4,FALSE)),"")</f>
        <v>S0032 Łukasz SZANTULA - Mielec</v>
      </c>
      <c r="V214" s="231"/>
      <c r="W214" s="26"/>
      <c r="X214" s="33" t="str">
        <f>IF(SUM(AR217:AS217)=0,"",AR217&amp;":"&amp;AS217)</f>
        <v>21:17</v>
      </c>
      <c r="Y214" s="68">
        <f>IF(SUM(AR215:AS215)=0,"",AR215&amp;":"&amp;AS215)</f>
      </c>
      <c r="Z214" s="249"/>
      <c r="AA214" s="242"/>
      <c r="AB214" s="242"/>
      <c r="AC214" s="243"/>
      <c r="AD214" s="2"/>
      <c r="AE214" s="24"/>
      <c r="AF214" s="24"/>
      <c r="AH214" s="239" t="s">
        <v>12</v>
      </c>
      <c r="AI214" s="239"/>
      <c r="AJ214" s="240" t="s">
        <v>13</v>
      </c>
      <c r="AK214" s="240"/>
      <c r="AL214" s="241" t="s">
        <v>14</v>
      </c>
      <c r="AM214" s="241"/>
      <c r="AN214" s="239" t="s">
        <v>12</v>
      </c>
      <c r="AO214" s="239"/>
      <c r="AP214" s="240" t="s">
        <v>13</v>
      </c>
      <c r="AQ214" s="240"/>
      <c r="AR214" s="240" t="s">
        <v>14</v>
      </c>
      <c r="AS214" s="240"/>
      <c r="AT214" s="24"/>
      <c r="AU214" s="24"/>
      <c r="AV214" s="239">
        <v>1</v>
      </c>
      <c r="AW214" s="239"/>
      <c r="AX214" s="240">
        <v>2</v>
      </c>
      <c r="AY214" s="240"/>
      <c r="AZ214" s="241">
        <v>3</v>
      </c>
      <c r="BA214" s="241"/>
      <c r="BD214" s="235" t="s">
        <v>3</v>
      </c>
      <c r="BE214" s="235"/>
      <c r="BF214" s="235" t="s">
        <v>4</v>
      </c>
      <c r="BG214" s="235"/>
      <c r="BH214" s="235" t="s">
        <v>5</v>
      </c>
      <c r="BI214" s="235"/>
      <c r="BJ214" s="35" t="s">
        <v>6</v>
      </c>
      <c r="BK214" s="12">
        <f>SUM(BK215:BK217)</f>
        <v>0</v>
      </c>
    </row>
    <row r="215" spans="1:63" ht="11.25" customHeight="1">
      <c r="A215" s="11">
        <f>S215</f>
        <v>63</v>
      </c>
      <c r="B215" s="2" t="str">
        <f>IF(N213="","",N213)</f>
        <v>S0033</v>
      </c>
      <c r="C215" s="2" t="str">
        <f>IF(N214="","",N214)</f>
        <v>S0032</v>
      </c>
      <c r="D215" s="2" t="str">
        <f>IF(N219="","",N219)</f>
        <v>G0011</v>
      </c>
      <c r="E215" s="2" t="str">
        <f>IF(N220="","",N220)</f>
        <v>S0035</v>
      </c>
      <c r="I215" s="2" t="str">
        <f>"2"&amp;O211&amp;N212</f>
        <v>23Gra podwójna</v>
      </c>
      <c r="J215" s="2" t="str">
        <f>IF(AC215="","",IF(AC212=2,N213,IF(AC215=2,N216,IF(AC218=2,N219,""))))</f>
        <v>S0033</v>
      </c>
      <c r="K215" s="2" t="str">
        <f>IF(AC215="","",IF(AC212=2,N214,IF(AC215=2,N217,IF(AC218=2,N220,""))))</f>
        <v>S0032</v>
      </c>
      <c r="M215" s="2" t="str">
        <f>N212</f>
        <v>Gra podwójna</v>
      </c>
      <c r="O215" s="31"/>
      <c r="P215" s="31"/>
      <c r="Q215" s="36">
        <f>IF(AT215&gt;0,"",IF(A215=0,"",IF(VLOOKUP(A215,'[1]plan_gier'!A:S,19,FALSE)="","",VLOOKUP(A215,'[1]plan_gier'!A:S,19,FALSE))))</f>
      </c>
      <c r="R215" s="37" t="s">
        <v>15</v>
      </c>
      <c r="S215" s="84">
        <v>63</v>
      </c>
      <c r="T215" s="236">
        <v>2</v>
      </c>
      <c r="U215" s="233" t="str">
        <f>IF(AND(N216&lt;&gt;"",N217&lt;&gt;""),CONCATENATE(VLOOKUP(N216,'[1]zawodnicy'!$A:$E,1,FALSE)," ",VLOOKUP(N216,'[1]zawodnicy'!$A:$E,2,FALSE)," ",VLOOKUP(N216,'[1]zawodnicy'!$A:$E,3,FALSE)," - ",VLOOKUP(N216,'[1]zawodnicy'!$A:$E,4,FALSE)),"")</f>
        <v>K0038 Wojciech KWOLEK - Mielec</v>
      </c>
      <c r="V215" s="233"/>
      <c r="W215" s="39" t="str">
        <f>IF(SUM(AN217:AO217)=0,"",AO217&amp;":"&amp;AN217)</f>
        <v>21:15</v>
      </c>
      <c r="X215" s="72"/>
      <c r="Y215" s="42" t="str">
        <f>IF(SUM(AN216:AO216)=0,"",AN216&amp;":"&amp;AO216)</f>
        <v>13:21</v>
      </c>
      <c r="Z215" s="236" t="str">
        <f>IF(SUM(AV216:AW216,AZ216:BA216)=0,"",BD216&amp;":"&amp;BE216)</f>
        <v>86:99</v>
      </c>
      <c r="AA215" s="237" t="str">
        <f>IF(SUM(AV216:AW216,AZ216:BA216)=0,"",BF216&amp;":"&amp;BG216)</f>
        <v>1:4</v>
      </c>
      <c r="AB215" s="237" t="str">
        <f>IF(SUM(AV216:AW216,AZ216:BA216)=0,"",BH216&amp;":"&amp;BI216)</f>
        <v>0:2</v>
      </c>
      <c r="AC215" s="238">
        <f>IF(SUM(BH215:BH217)&gt;0,BJ216,"")</f>
        <v>3</v>
      </c>
      <c r="AD215" s="2"/>
      <c r="AE215" s="24"/>
      <c r="AF215" s="24"/>
      <c r="AG215" s="37" t="s">
        <v>15</v>
      </c>
      <c r="AH215" s="45">
        <f>IF(ISBLANK(S215),"",VLOOKUP(S215,'[1]plan_gier'!$X:$AN,12,FALSE))</f>
        <v>13</v>
      </c>
      <c r="AI215" s="46">
        <f>IF(ISBLANK(S215),"",VLOOKUP(S215,'[1]plan_gier'!$X:$AN,13,FALSE))</f>
        <v>21</v>
      </c>
      <c r="AJ215" s="46">
        <f>IF(ISBLANK(S215),"",VLOOKUP(S215,'[1]plan_gier'!$X:$AN,14,FALSE))</f>
        <v>19</v>
      </c>
      <c r="AK215" s="46">
        <f>IF(ISBLANK(S215),"",VLOOKUP(S215,'[1]plan_gier'!$X:$AN,15,FALSE))</f>
        <v>21</v>
      </c>
      <c r="AL215" s="46">
        <f>IF(ISBLANK(S215),"",VLOOKUP(S215,'[1]plan_gier'!$X:$AN,16,FALSE))</f>
        <v>0</v>
      </c>
      <c r="AM215" s="46">
        <f>IF(ISBLANK(S215),"",VLOOKUP(S215,'[1]plan_gier'!$X:$AN,17,FALSE))</f>
        <v>0</v>
      </c>
      <c r="AN215" s="94">
        <f aca="true" t="shared" si="29" ref="AN215:AS217">IF(AH215="",0,AH215)</f>
        <v>13</v>
      </c>
      <c r="AO215" s="44">
        <f t="shared" si="29"/>
        <v>21</v>
      </c>
      <c r="AP215" s="95">
        <f t="shared" si="29"/>
        <v>19</v>
      </c>
      <c r="AQ215" s="44">
        <f t="shared" si="29"/>
        <v>21</v>
      </c>
      <c r="AR215" s="95">
        <f t="shared" si="29"/>
        <v>0</v>
      </c>
      <c r="AS215" s="44">
        <f t="shared" si="29"/>
        <v>0</v>
      </c>
      <c r="AT215" s="48">
        <f>SUM(AN215:AS215)</f>
        <v>74</v>
      </c>
      <c r="AU215" s="49">
        <v>1</v>
      </c>
      <c r="AV215" s="96"/>
      <c r="AW215" s="97"/>
      <c r="AX215" s="46">
        <f>IF(AH217&gt;AI217,1,0)+IF(AJ217&gt;AK217,1,0)+IF(AL217&gt;AM217,1,0)</f>
        <v>2</v>
      </c>
      <c r="AY215" s="46">
        <f>AV216</f>
        <v>1</v>
      </c>
      <c r="AZ215" s="46">
        <f>IF(AH215&gt;AI215,1,0)+IF(AJ215&gt;AK215,1,0)+IF(AL215&gt;AM215,1,0)</f>
        <v>0</v>
      </c>
      <c r="BA215" s="47">
        <f>AV217</f>
        <v>2</v>
      </c>
      <c r="BD215" s="45">
        <f>AN215+AP215+AR215+AN217+AP217+AR217</f>
        <v>89</v>
      </c>
      <c r="BE215" s="47">
        <f>AO215+AQ215+AS215+AO217+AQ217+AS217</f>
        <v>98</v>
      </c>
      <c r="BF215" s="45">
        <f>AX215+AZ215</f>
        <v>2</v>
      </c>
      <c r="BG215" s="47">
        <f>AY215+BA215</f>
        <v>3</v>
      </c>
      <c r="BH215" s="45">
        <f>IF(AX215&gt;AY215,1,0)+IF(AZ215&gt;BA215,1,0)</f>
        <v>1</v>
      </c>
      <c r="BI215" s="51">
        <f>IF(AY215&gt;AX215,1,0)+IF(BA215&gt;AZ215,1,0)</f>
        <v>1</v>
      </c>
      <c r="BJ215" s="98">
        <f>IF(BH215+BI215=0,"",IF(BK215=MAX(BK215:BK217),1,IF(BK215=MIN(BK215:BK217),3,2)))</f>
        <v>2</v>
      </c>
      <c r="BK215" s="12">
        <f>IF(BH215+BI215&lt;&gt;0,BH215-BI215+(BF215-BG215)/100+(BD215-BE215)/10000,-2)</f>
        <v>-0.0109</v>
      </c>
    </row>
    <row r="216" spans="1:63" ht="11.25" customHeight="1">
      <c r="A216" s="11">
        <f>S216</f>
        <v>67</v>
      </c>
      <c r="B216" s="2" t="str">
        <f>IF(N216="","",N216)</f>
        <v>K0038</v>
      </c>
      <c r="C216" s="2" t="str">
        <f>IF(N217="","",N217)</f>
        <v>M0026</v>
      </c>
      <c r="D216" s="2" t="str">
        <f>IF(N219="","",N219)</f>
        <v>G0011</v>
      </c>
      <c r="E216" s="2" t="str">
        <f>IF(N220="","",N220)</f>
        <v>S0035</v>
      </c>
      <c r="J216" s="2"/>
      <c r="K216" s="11"/>
      <c r="M216" s="2" t="str">
        <f>N212</f>
        <v>Gra podwójna</v>
      </c>
      <c r="N216" s="29" t="s">
        <v>52</v>
      </c>
      <c r="O216" s="30">
        <f>IF(O211&gt;0,(O211&amp;2)*1,"")</f>
        <v>32</v>
      </c>
      <c r="Q216" s="36">
        <f>IF(AT216&gt;0,"",IF(A216=0,"",IF(VLOOKUP(A216,'[1]plan_gier'!A:S,19,FALSE)="","",VLOOKUP(A216,'[1]plan_gier'!A:S,19,FALSE))))</f>
      </c>
      <c r="R216" s="37" t="s">
        <v>19</v>
      </c>
      <c r="S216" s="84">
        <v>67</v>
      </c>
      <c r="T216" s="236"/>
      <c r="U216" s="228">
        <f>IF(AND(N216&lt;&gt;"",N217=""),CONCATENATE(VLOOKUP(N216,'[1]zawodnicy'!$A:$E,1,FALSE)," ",VLOOKUP(N216,'[1]zawodnicy'!$A:$E,2,FALSE)," ",VLOOKUP(N216,'[1]zawodnicy'!$A:$E,3,FALSE)," - ",VLOOKUP(N216,'[1]zawodnicy'!$A:$E,4,FALSE)),"")</f>
      </c>
      <c r="V216" s="228"/>
      <c r="W216" s="56" t="str">
        <f>IF(SUM(AP217:AQ217)=0,"",AQ217&amp;":"&amp;AP217)</f>
        <v>18:21</v>
      </c>
      <c r="X216" s="82"/>
      <c r="Y216" s="58" t="str">
        <f>IF(SUM(AP216:AQ216)=0,"",AP216&amp;":"&amp;AQ216)</f>
        <v>17:21</v>
      </c>
      <c r="Z216" s="236"/>
      <c r="AA216" s="237"/>
      <c r="AB216" s="237"/>
      <c r="AC216" s="238"/>
      <c r="AD216" s="2"/>
      <c r="AE216" s="24"/>
      <c r="AF216" s="24"/>
      <c r="AG216" s="37" t="s">
        <v>19</v>
      </c>
      <c r="AH216" s="59">
        <f>IF(ISBLANK(S216),"",VLOOKUP(S216,'[1]plan_gier'!$X:$AN,12,FALSE))</f>
        <v>13</v>
      </c>
      <c r="AI216" s="60">
        <f>IF(ISBLANK(S216),"",VLOOKUP(S216,'[1]plan_gier'!$X:$AN,13,FALSE))</f>
        <v>21</v>
      </c>
      <c r="AJ216" s="60">
        <f>IF(ISBLANK(S216),"",VLOOKUP(S216,'[1]plan_gier'!$X:$AN,14,FALSE))</f>
        <v>17</v>
      </c>
      <c r="AK216" s="60">
        <f>IF(ISBLANK(S216),"",VLOOKUP(S216,'[1]plan_gier'!$X:$AN,15,FALSE))</f>
        <v>21</v>
      </c>
      <c r="AL216" s="60">
        <f>IF(ISBLANK(S216),"",VLOOKUP(S216,'[1]plan_gier'!$X:$AN,16,FALSE))</f>
        <v>0</v>
      </c>
      <c r="AM216" s="60">
        <f>IF(ISBLANK(S216),"",VLOOKUP(S216,'[1]plan_gier'!$X:$AN,17,FALSE))</f>
        <v>0</v>
      </c>
      <c r="AN216" s="99">
        <f t="shared" si="29"/>
        <v>13</v>
      </c>
      <c r="AO216" s="60">
        <f t="shared" si="29"/>
        <v>21</v>
      </c>
      <c r="AP216" s="100">
        <f t="shared" si="29"/>
        <v>17</v>
      </c>
      <c r="AQ216" s="60">
        <f t="shared" si="29"/>
        <v>21</v>
      </c>
      <c r="AR216" s="100">
        <f t="shared" si="29"/>
        <v>0</v>
      </c>
      <c r="AS216" s="60">
        <f t="shared" si="29"/>
        <v>0</v>
      </c>
      <c r="AT216" s="48">
        <f>SUM(AN216:AS216)</f>
        <v>72</v>
      </c>
      <c r="AU216" s="49">
        <v>2</v>
      </c>
      <c r="AV216" s="59">
        <f>IF(AH217&lt;AI217,1,0)+IF(AJ217&lt;AK217,1,0)+IF(AL217&lt;AM217,1,0)</f>
        <v>1</v>
      </c>
      <c r="AW216" s="60">
        <f>AX215</f>
        <v>2</v>
      </c>
      <c r="AX216" s="101"/>
      <c r="AY216" s="102"/>
      <c r="AZ216" s="60">
        <f>IF(AH216&gt;AI216,1,0)+IF(AJ216&gt;AK216,1,0)+IF(AL216&gt;AM216,1,0)</f>
        <v>0</v>
      </c>
      <c r="BA216" s="61">
        <f>AX217</f>
        <v>2</v>
      </c>
      <c r="BD216" s="59">
        <f>AN216+AP216+AR216+AO217+AQ217+AS217</f>
        <v>86</v>
      </c>
      <c r="BE216" s="61">
        <f>AO216+AQ216+AS216+AN217+AP217+AR217</f>
        <v>99</v>
      </c>
      <c r="BF216" s="59">
        <f>AV216+AZ216</f>
        <v>1</v>
      </c>
      <c r="BG216" s="61">
        <f>AW216+BA216</f>
        <v>4</v>
      </c>
      <c r="BH216" s="59">
        <f>IF(AV216&gt;AW216,1,0)+IF(AZ216&gt;BA216,1,0)</f>
        <v>0</v>
      </c>
      <c r="BI216" s="65">
        <f>IF(AW216&gt;AV216,1,0)+IF(BA216&gt;AZ216,1,0)</f>
        <v>2</v>
      </c>
      <c r="BJ216" s="66">
        <f>IF(BH216+BI216=0,"",IF(BK216=MAX(BK215:BK217),1,IF(BK216=MIN(BK215:BK217),3,2)))</f>
        <v>3</v>
      </c>
      <c r="BK216" s="12">
        <f>IF(BH216+BI216&lt;&gt;0,BH216-BI216+(BF216-BG216)/100+(BD216-BE216)/10000,-2)</f>
        <v>-2.0313</v>
      </c>
    </row>
    <row r="217" spans="1:63" ht="11.25" customHeight="1" thickBot="1">
      <c r="A217" s="11">
        <f>S217</f>
        <v>71</v>
      </c>
      <c r="B217" s="2" t="str">
        <f>IF(N213="","",N213)</f>
        <v>S0033</v>
      </c>
      <c r="C217" s="2" t="str">
        <f>IF(N214="","",N214)</f>
        <v>S0032</v>
      </c>
      <c r="D217" s="2" t="str">
        <f>IF(N216="","",N216)</f>
        <v>K0038</v>
      </c>
      <c r="E217" s="2" t="str">
        <f>IF(N217="","",N217)</f>
        <v>M0026</v>
      </c>
      <c r="I217" s="2" t="str">
        <f>"3"&amp;O211&amp;N212</f>
        <v>33Gra podwójna</v>
      </c>
      <c r="J217" s="2" t="str">
        <f>IF(AC218="","",IF(AC212=3,N213,IF(AC215=3,N216,IF(AC218=3,N219,""))))</f>
        <v>K0038</v>
      </c>
      <c r="K217" s="2" t="str">
        <f>IF(AC218="","",IF(AC212=3,N214,IF(AC215=3,N217,IF(AC218=3,N220,""))))</f>
        <v>M0026</v>
      </c>
      <c r="M217" s="2" t="str">
        <f>N212</f>
        <v>Gra podwójna</v>
      </c>
      <c r="N217" s="32" t="s">
        <v>27</v>
      </c>
      <c r="O217" s="31"/>
      <c r="P217" s="31"/>
      <c r="Q217" s="36">
        <f>IF(AT217&gt;0,"",IF(A217=0,"",IF(VLOOKUP(A217,'[1]plan_gier'!A:S,19,FALSE)="","",VLOOKUP(A217,'[1]plan_gier'!A:S,19,FALSE))))</f>
      </c>
      <c r="R217" s="37" t="s">
        <v>22</v>
      </c>
      <c r="S217" s="84">
        <v>71</v>
      </c>
      <c r="T217" s="236"/>
      <c r="U217" s="231" t="str">
        <f>IF(N217&lt;&gt;"",CONCATENATE(VLOOKUP(N217,'[1]zawodnicy'!$A:$E,1,FALSE)," ",VLOOKUP(N217,'[1]zawodnicy'!$A:$E,2,FALSE)," ",VLOOKUP(N217,'[1]zawodnicy'!$A:$E,3,FALSE)," - ",VLOOKUP(N217,'[1]zawodnicy'!$A:$E,4,FALSE)),"")</f>
        <v>M0026 Wojciech MACHAJ - Mielec</v>
      </c>
      <c r="V217" s="231"/>
      <c r="W217" s="67" t="str">
        <f>IF(SUM(AR217:AS217)=0,"",AS217&amp;":"&amp;AR217)</f>
        <v>17:21</v>
      </c>
      <c r="X217" s="82"/>
      <c r="Y217" s="68">
        <f>IF(SUM(AR216:AS216)=0,"",AR216&amp;":"&amp;AS216)</f>
      </c>
      <c r="Z217" s="236"/>
      <c r="AA217" s="237"/>
      <c r="AB217" s="237"/>
      <c r="AC217" s="238"/>
      <c r="AD217" s="2"/>
      <c r="AE217" s="24"/>
      <c r="AF217" s="24"/>
      <c r="AG217" s="37" t="s">
        <v>22</v>
      </c>
      <c r="AH217" s="78">
        <f>IF(ISBLANK(S217),"",VLOOKUP(S217,'[1]plan_gier'!$X:$AN,12,FALSE))</f>
        <v>15</v>
      </c>
      <c r="AI217" s="75">
        <f>IF(ISBLANK(S217),"",VLOOKUP(S217,'[1]plan_gier'!$X:$AN,13,FALSE))</f>
        <v>21</v>
      </c>
      <c r="AJ217" s="75">
        <f>IF(ISBLANK(S217),"",VLOOKUP(S217,'[1]plan_gier'!$X:$AN,14,FALSE))</f>
        <v>21</v>
      </c>
      <c r="AK217" s="75">
        <f>IF(ISBLANK(S217),"",VLOOKUP(S217,'[1]plan_gier'!$X:$AN,15,FALSE))</f>
        <v>18</v>
      </c>
      <c r="AL217" s="75">
        <f>IF(ISBLANK(S217),"",VLOOKUP(S217,'[1]plan_gier'!$X:$AN,16,FALSE))</f>
        <v>21</v>
      </c>
      <c r="AM217" s="75">
        <f>IF(ISBLANK(S217),"",VLOOKUP(S217,'[1]plan_gier'!$X:$AN,17,FALSE))</f>
        <v>17</v>
      </c>
      <c r="AN217" s="103">
        <f t="shared" si="29"/>
        <v>15</v>
      </c>
      <c r="AO217" s="75">
        <f t="shared" si="29"/>
        <v>21</v>
      </c>
      <c r="AP217" s="104">
        <f t="shared" si="29"/>
        <v>21</v>
      </c>
      <c r="AQ217" s="75">
        <f t="shared" si="29"/>
        <v>18</v>
      </c>
      <c r="AR217" s="104">
        <f t="shared" si="29"/>
        <v>21</v>
      </c>
      <c r="AS217" s="75">
        <f t="shared" si="29"/>
        <v>17</v>
      </c>
      <c r="AT217" s="48">
        <f>SUM(AN217:AS217)</f>
        <v>113</v>
      </c>
      <c r="AU217" s="49">
        <v>3</v>
      </c>
      <c r="AV217" s="78">
        <f>IF(AH215&lt;AI215,1,0)+IF(AJ215&lt;AK215,1,0)+IF(AL215&lt;AM215,1,0)</f>
        <v>2</v>
      </c>
      <c r="AW217" s="75">
        <f>AZ215</f>
        <v>0</v>
      </c>
      <c r="AX217" s="75">
        <f>IF(AH216&lt;AI216,1,0)+IF(AJ216&lt;AK216,1,0)+IF(AL216&lt;AM216,1,0)</f>
        <v>2</v>
      </c>
      <c r="AY217" s="75">
        <f>AZ216</f>
        <v>0</v>
      </c>
      <c r="AZ217" s="105"/>
      <c r="BA217" s="106"/>
      <c r="BD217" s="78">
        <f>AO215+AQ215+AS215+AO216+AQ216+AS216</f>
        <v>84</v>
      </c>
      <c r="BE217" s="80">
        <f>AN215+AP215+AR215+AN216+AP216+AR216</f>
        <v>62</v>
      </c>
      <c r="BF217" s="78">
        <f>AV217+AX217</f>
        <v>4</v>
      </c>
      <c r="BG217" s="80">
        <f>AW217+AY217</f>
        <v>0</v>
      </c>
      <c r="BH217" s="78">
        <f>IF(AV217&gt;AW217,1,0)+IF(AX217&gt;AY217,1,0)</f>
        <v>2</v>
      </c>
      <c r="BI217" s="79">
        <f>IF(AW217&gt;AV217,1,0)+IF(AY217&gt;AX217,1,0)</f>
        <v>0</v>
      </c>
      <c r="BJ217" s="81">
        <f>IF(BH217+BI217=0,"",IF(BK217=MAX(BK215:BK217),1,IF(BK217=MIN(BK215:BK217),3,2)))</f>
        <v>1</v>
      </c>
      <c r="BK217" s="12">
        <f>IF(BH217+BI217&lt;&gt;0,BH217-BI217+(BF217-BG217)/100+(BD217-BE217)/10000,-2)</f>
        <v>2.0422000000000002</v>
      </c>
    </row>
    <row r="218" spans="1:59" ht="11.25" customHeight="1" thickBot="1">
      <c r="A218" s="2"/>
      <c r="J218" s="31"/>
      <c r="K218" s="31"/>
      <c r="L218" s="31"/>
      <c r="O218" s="31"/>
      <c r="P218" s="31"/>
      <c r="Q218" s="2"/>
      <c r="R218" s="2"/>
      <c r="S218" s="2"/>
      <c r="T218" s="232">
        <v>3</v>
      </c>
      <c r="U218" s="233" t="str">
        <f>IF(AND(N219&lt;&gt;"",N220&lt;&gt;""),CONCATENATE(VLOOKUP(N219,'[1]zawodnicy'!$A:$E,1,FALSE)," ",VLOOKUP(N219,'[1]zawodnicy'!$A:$E,2,FALSE)," ",VLOOKUP(N219,'[1]zawodnicy'!$A:$E,3,FALSE)," - ",VLOOKUP(N219,'[1]zawodnicy'!$A:$E,4,FALSE)),"")</f>
        <v>G0011 Jakub GERCZAK - Sanok</v>
      </c>
      <c r="V218" s="233"/>
      <c r="W218" s="39" t="str">
        <f>IF(SUM(AN215:AO215)=0,"",AO215&amp;":"&amp;AN215)</f>
        <v>21:13</v>
      </c>
      <c r="X218" s="41" t="str">
        <f>IF(SUM(AN216:AO216)=0,"",AO216&amp;":"&amp;AN216)</f>
        <v>21:13</v>
      </c>
      <c r="Y218" s="107"/>
      <c r="Z218" s="232" t="str">
        <f>IF(SUM(AV217:AY217)=0,"",BD217&amp;":"&amp;BE217)</f>
        <v>84:62</v>
      </c>
      <c r="AA218" s="234" t="str">
        <f>IF(SUM(AV217:AY217)=0,"",BF217&amp;":"&amp;BG217)</f>
        <v>4:0</v>
      </c>
      <c r="AB218" s="234" t="str">
        <f>IF(SUM(AV217:AY217)=0,"",BH217&amp;":"&amp;BI217)</f>
        <v>2:0</v>
      </c>
      <c r="AC218" s="227">
        <f>IF(SUM(BH215:BH217)&gt;0,BJ217,"")</f>
        <v>1</v>
      </c>
      <c r="AD218" s="2"/>
      <c r="AE218" s="24"/>
      <c r="AF218" s="24"/>
      <c r="BD218" s="11">
        <f>SUM(BD215:BD217)</f>
        <v>259</v>
      </c>
      <c r="BE218" s="11">
        <f>SUM(BE215:BE217)</f>
        <v>259</v>
      </c>
      <c r="BF218" s="11">
        <f>SUM(BF215:BF217)</f>
        <v>7</v>
      </c>
      <c r="BG218" s="11">
        <f>SUM(BG215:BG217)</f>
        <v>7</v>
      </c>
    </row>
    <row r="219" spans="1:63" ht="11.25" customHeight="1" thickBot="1">
      <c r="A219" s="11"/>
      <c r="J219" s="11"/>
      <c r="K219" s="11"/>
      <c r="L219" s="11"/>
      <c r="N219" s="29" t="s">
        <v>50</v>
      </c>
      <c r="O219" s="30">
        <f>IF(O211&gt;0,(O211&amp;3)*1,"")</f>
        <v>33</v>
      </c>
      <c r="Q219" s="10"/>
      <c r="R219" s="10"/>
      <c r="S219" s="84"/>
      <c r="T219" s="232"/>
      <c r="U219" s="228">
        <f>IF(AND(N219&lt;&gt;"",N220=""),CONCATENATE(VLOOKUP(N219,'[1]zawodnicy'!$A:$E,1,FALSE)," ",VLOOKUP(N219,'[1]zawodnicy'!$A:$E,2,FALSE)," ",VLOOKUP(N219,'[1]zawodnicy'!$A:$E,3,FALSE)," - ",VLOOKUP(N219,'[1]zawodnicy'!$A:$E,4,FALSE)),"")</f>
      </c>
      <c r="V219" s="228"/>
      <c r="W219" s="56" t="str">
        <f>IF(SUM(AP215:AQ215)=0,"",AQ215&amp;":"&amp;AP215)</f>
        <v>21:19</v>
      </c>
      <c r="X219" s="27" t="str">
        <f>IF(SUM(AP216:AQ216)=0,"",AQ216&amp;":"&amp;AP216)</f>
        <v>21:17</v>
      </c>
      <c r="Y219" s="108"/>
      <c r="Z219" s="232"/>
      <c r="AA219" s="234"/>
      <c r="AB219" s="234"/>
      <c r="AC219" s="227"/>
      <c r="AD219" s="2"/>
      <c r="AE219" s="24"/>
      <c r="AF219" s="24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1:63" ht="11.25" customHeight="1" thickBot="1">
      <c r="A220" s="2"/>
      <c r="J220" s="31"/>
      <c r="K220" s="31"/>
      <c r="L220" s="31"/>
      <c r="N220" s="32" t="s">
        <v>33</v>
      </c>
      <c r="O220" s="31"/>
      <c r="P220" s="31"/>
      <c r="Q220" s="2"/>
      <c r="R220" s="2"/>
      <c r="S220" s="2"/>
      <c r="T220" s="232"/>
      <c r="U220" s="229" t="str">
        <f>IF(N220&lt;&gt;"",CONCATENATE(VLOOKUP(N220,'[1]zawodnicy'!$A:$E,1,FALSE)," ",VLOOKUP(N220,'[1]zawodnicy'!$A:$E,2,FALSE)," ",VLOOKUP(N220,'[1]zawodnicy'!$A:$E,3,FALSE)," - ",VLOOKUP(N220,'[1]zawodnicy'!$A:$E,4,FALSE)),"")</f>
        <v>S0035 Kuba SITEK - Rzeszów</v>
      </c>
      <c r="V220" s="229"/>
      <c r="W220" s="86">
        <f>IF(SUM(AR215:AS215)=0,"",AS215&amp;":"&amp;AR215)</f>
      </c>
      <c r="X220" s="87">
        <f>IF(SUM(AR216:AS216)=0,"",AS216&amp;":"&amp;AR216)</f>
      </c>
      <c r="Y220" s="88"/>
      <c r="Z220" s="232"/>
      <c r="AA220" s="234"/>
      <c r="AB220" s="234"/>
      <c r="AC220" s="227"/>
      <c r="AD220" s="2"/>
      <c r="AE220" s="24"/>
      <c r="AF220" s="24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ht="11.25" customHeight="1" thickBot="1"/>
    <row r="222" spans="14:32" ht="11.25" customHeight="1" thickBot="1">
      <c r="N222" s="7"/>
      <c r="O222" s="14">
        <v>4</v>
      </c>
      <c r="Q222" s="245" t="str">
        <f>"Grupa "&amp;O222&amp;"."</f>
        <v>Grupa 4.</v>
      </c>
      <c r="R222" s="245"/>
      <c r="S222" s="245"/>
      <c r="T222" s="15" t="s">
        <v>1</v>
      </c>
      <c r="U222" s="246" t="s">
        <v>2</v>
      </c>
      <c r="V222" s="246"/>
      <c r="W222" s="15">
        <v>1</v>
      </c>
      <c r="X222" s="18">
        <v>2</v>
      </c>
      <c r="Y222" s="16">
        <v>3</v>
      </c>
      <c r="Z222" s="89" t="s">
        <v>3</v>
      </c>
      <c r="AA222" s="22" t="s">
        <v>4</v>
      </c>
      <c r="AB222" s="22" t="s">
        <v>5</v>
      </c>
      <c r="AC222" s="90" t="s">
        <v>6</v>
      </c>
      <c r="AD222" s="2"/>
      <c r="AE222" s="24"/>
      <c r="AF222" s="24"/>
    </row>
    <row r="223" spans="10:45" ht="11.25" customHeight="1" thickBot="1">
      <c r="J223" s="31"/>
      <c r="K223" s="31"/>
      <c r="L223" s="31"/>
      <c r="N223" s="25" t="s">
        <v>73</v>
      </c>
      <c r="Q223" s="247" t="s">
        <v>9</v>
      </c>
      <c r="R223" s="247"/>
      <c r="S223" s="248" t="s">
        <v>10</v>
      </c>
      <c r="T223" s="249">
        <v>1</v>
      </c>
      <c r="U223" s="250" t="str">
        <f>IF(AND(N224&lt;&gt;"",N225&lt;&gt;""),CONCATENATE(VLOOKUP(N224,'[1]zawodnicy'!$A:$E,1,FALSE)," ",VLOOKUP(N224,'[1]zawodnicy'!$A:$E,2,FALSE)," ",VLOOKUP(N224,'[1]zawodnicy'!$A:$E,3,FALSE)," - ",VLOOKUP(N224,'[1]zawodnicy'!$A:$E,4,FALSE)),"")</f>
        <v>K0011 Bartłomiej KOŚMIDER - Szczucin</v>
      </c>
      <c r="V223" s="250"/>
      <c r="W223" s="91"/>
      <c r="X223" s="92" t="str">
        <f>IF(SUM(AN228:AO228)=0,"",AN228&amp;":"&amp;AO228)</f>
        <v>21:6</v>
      </c>
      <c r="Y223" s="93" t="str">
        <f>IF(SUM(AN226:AO226)=0,"",AN226&amp;":"&amp;AO226)</f>
        <v>21:9</v>
      </c>
      <c r="Z223" s="249" t="str">
        <f>IF(SUM(AX226:BA226)=0,"",BD226&amp;":"&amp;BE226)</f>
        <v>84:29</v>
      </c>
      <c r="AA223" s="242" t="str">
        <f>IF(SUM(AX226:BA226)=0,"",BF226&amp;":"&amp;BG226)</f>
        <v>4:0</v>
      </c>
      <c r="AB223" s="242" t="str">
        <f>IF(SUM(AX226:BA226)=0,"",BH226&amp;":"&amp;BI226)</f>
        <v>2:0</v>
      </c>
      <c r="AC223" s="243">
        <f>IF(SUM(BH226:BH228)&gt;0,BJ226,"")</f>
        <v>1</v>
      </c>
      <c r="AD223" s="2"/>
      <c r="AE223" s="24"/>
      <c r="AF223" s="24"/>
      <c r="AH223" s="244" t="s">
        <v>7</v>
      </c>
      <c r="AI223" s="244"/>
      <c r="AJ223" s="244"/>
      <c r="AK223" s="244"/>
      <c r="AL223" s="244"/>
      <c r="AM223" s="244"/>
      <c r="AN223" s="244" t="s">
        <v>8</v>
      </c>
      <c r="AO223" s="244"/>
      <c r="AP223" s="244"/>
      <c r="AQ223" s="244"/>
      <c r="AR223" s="244"/>
      <c r="AS223" s="244"/>
    </row>
    <row r="224" spans="9:59" ht="11.25" customHeight="1" thickBot="1">
      <c r="I224" s="2" t="str">
        <f>"1"&amp;O222&amp;N223</f>
        <v>14Gra podwójna</v>
      </c>
      <c r="J224" s="2" t="str">
        <f>IF(AC223="","",IF(AC223=1,N224,IF(AC226=1,N227,IF(AC229=1,N230,""))))</f>
        <v>K0011</v>
      </c>
      <c r="K224" s="2" t="str">
        <f>IF(AC223="","",IF(AC223=1,N225,IF(AC226=1,N228,IF(AC229=1,N231,""))))</f>
        <v>S0030</v>
      </c>
      <c r="L224" s="2"/>
      <c r="N224" s="29" t="s">
        <v>72</v>
      </c>
      <c r="O224" s="30">
        <f>IF(O222&gt;0,(O222&amp;1)*1,"")</f>
        <v>41</v>
      </c>
      <c r="Q224" s="247"/>
      <c r="R224" s="247"/>
      <c r="S224" s="248"/>
      <c r="T224" s="249"/>
      <c r="U224" s="228">
        <f>IF(AND(N224&lt;&gt;"",N225=""),CONCATENATE(VLOOKUP(N224,'[1]zawodnicy'!$A:$E,1,FALSE)," ",VLOOKUP(N224,'[1]zawodnicy'!$A:$E,2,FALSE)," ",VLOOKUP(N224,'[1]zawodnicy'!$A:$E,3,FALSE)," - ",VLOOKUP(N224,'[1]zawodnicy'!$A:$E,4,FALSE)),"")</f>
      </c>
      <c r="V224" s="228"/>
      <c r="W224" s="26"/>
      <c r="X224" s="27" t="str">
        <f>IF(SUM(AP228:AQ228)=0,"",AP228&amp;":"&amp;AQ228)</f>
        <v>21:4</v>
      </c>
      <c r="Y224" s="58" t="str">
        <f>IF(SUM(AP226:AQ226)=0,"",AP226&amp;":"&amp;AQ226)</f>
        <v>21:10</v>
      </c>
      <c r="Z224" s="249"/>
      <c r="AA224" s="242"/>
      <c r="AB224" s="242"/>
      <c r="AC224" s="243"/>
      <c r="AD224" s="2"/>
      <c r="AE224" s="24"/>
      <c r="AF224" s="24"/>
      <c r="BD224" s="11">
        <f>SUM(BD226:BD228)</f>
        <v>172</v>
      </c>
      <c r="BE224" s="11">
        <f>SUM(BE226:BE228)</f>
        <v>172</v>
      </c>
      <c r="BF224" s="11">
        <f>SUM(BF226:BF228)</f>
        <v>6</v>
      </c>
      <c r="BG224" s="11">
        <f>SUM(BG226:BG228)</f>
        <v>6</v>
      </c>
    </row>
    <row r="225" spans="10:63" ht="11.25" customHeight="1" thickBot="1">
      <c r="J225" s="2"/>
      <c r="K225" s="31"/>
      <c r="L225" s="31"/>
      <c r="N225" s="32" t="s">
        <v>71</v>
      </c>
      <c r="O225" s="31"/>
      <c r="P225" s="31"/>
      <c r="Q225" s="247"/>
      <c r="R225" s="247"/>
      <c r="S225" s="248"/>
      <c r="T225" s="249"/>
      <c r="U225" s="231" t="str">
        <f>IF(N225&lt;&gt;"",CONCATENATE(VLOOKUP(N225,'[1]zawodnicy'!$A:$E,1,FALSE)," ",VLOOKUP(N225,'[1]zawodnicy'!$A:$E,2,FALSE)," ",VLOOKUP(N225,'[1]zawodnicy'!$A:$E,3,FALSE)," - ",VLOOKUP(N225,'[1]zawodnicy'!$A:$E,4,FALSE)),"")</f>
        <v>S0030 Karol SZYMURA - Szczucin</v>
      </c>
      <c r="V225" s="231"/>
      <c r="W225" s="26"/>
      <c r="X225" s="33">
        <f>IF(SUM(AR228:AS228)=0,"",AR228&amp;":"&amp;AS228)</f>
      </c>
      <c r="Y225" s="68">
        <f>IF(SUM(AR226:AS226)=0,"",AR226&amp;":"&amp;AS226)</f>
      </c>
      <c r="Z225" s="249"/>
      <c r="AA225" s="242"/>
      <c r="AB225" s="242"/>
      <c r="AC225" s="243"/>
      <c r="AD225" s="2"/>
      <c r="AE225" s="24"/>
      <c r="AF225" s="24"/>
      <c r="AH225" s="239" t="s">
        <v>12</v>
      </c>
      <c r="AI225" s="239"/>
      <c r="AJ225" s="240" t="s">
        <v>13</v>
      </c>
      <c r="AK225" s="240"/>
      <c r="AL225" s="241" t="s">
        <v>14</v>
      </c>
      <c r="AM225" s="241"/>
      <c r="AN225" s="239" t="s">
        <v>12</v>
      </c>
      <c r="AO225" s="239"/>
      <c r="AP225" s="240" t="s">
        <v>13</v>
      </c>
      <c r="AQ225" s="240"/>
      <c r="AR225" s="240" t="s">
        <v>14</v>
      </c>
      <c r="AS225" s="240"/>
      <c r="AT225" s="24"/>
      <c r="AU225" s="24"/>
      <c r="AV225" s="239">
        <v>1</v>
      </c>
      <c r="AW225" s="239"/>
      <c r="AX225" s="240">
        <v>2</v>
      </c>
      <c r="AY225" s="240"/>
      <c r="AZ225" s="241">
        <v>3</v>
      </c>
      <c r="BA225" s="241"/>
      <c r="BD225" s="235" t="s">
        <v>3</v>
      </c>
      <c r="BE225" s="235"/>
      <c r="BF225" s="235" t="s">
        <v>4</v>
      </c>
      <c r="BG225" s="235"/>
      <c r="BH225" s="235" t="s">
        <v>5</v>
      </c>
      <c r="BI225" s="235"/>
      <c r="BJ225" s="35" t="s">
        <v>6</v>
      </c>
      <c r="BK225" s="12">
        <f>SUM(BK226:BK228)</f>
        <v>2.2036409155767878E-17</v>
      </c>
    </row>
    <row r="226" spans="1:63" ht="11.25" customHeight="1">
      <c r="A226" s="11">
        <f>S226</f>
        <v>64</v>
      </c>
      <c r="B226" s="2" t="str">
        <f>IF(N224="","",N224)</f>
        <v>K0011</v>
      </c>
      <c r="C226" s="2" t="str">
        <f>IF(N225="","",N225)</f>
        <v>S0030</v>
      </c>
      <c r="D226" s="2" t="str">
        <f>IF(N230="","",N230)</f>
        <v>G0017</v>
      </c>
      <c r="E226" s="2" t="str">
        <f>IF(N231="","",N231)</f>
        <v>W0014</v>
      </c>
      <c r="I226" s="2" t="str">
        <f>"2"&amp;O222&amp;N223</f>
        <v>24Gra podwójna</v>
      </c>
      <c r="J226" s="2" t="str">
        <f>IF(AC226="","",IF(AC223=2,N224,IF(AC226=2,N227,IF(AC229=2,N230,""))))</f>
        <v>G0017</v>
      </c>
      <c r="K226" s="2" t="str">
        <f>IF(AC226="","",IF(AC223=2,N225,IF(AC226=2,N228,IF(AC229=2,N231,""))))</f>
        <v>W0014</v>
      </c>
      <c r="M226" s="2" t="str">
        <f>N223</f>
        <v>Gra podwójna</v>
      </c>
      <c r="O226" s="31"/>
      <c r="P226" s="31"/>
      <c r="Q226" s="36">
        <f>IF(AT226&gt;0,"",IF(A226=0,"",IF(VLOOKUP(A226,'[1]plan_gier'!A:S,19,FALSE)="","",VLOOKUP(A226,'[1]plan_gier'!A:S,19,FALSE))))</f>
      </c>
      <c r="R226" s="37" t="s">
        <v>15</v>
      </c>
      <c r="S226" s="84">
        <v>64</v>
      </c>
      <c r="T226" s="236">
        <v>2</v>
      </c>
      <c r="U226" s="233" t="str">
        <f>IF(AND(N227&lt;&gt;"",N228&lt;&gt;""),CONCATENATE(VLOOKUP(N227,'[1]zawodnicy'!$A:$E,1,FALSE)," ",VLOOKUP(N227,'[1]zawodnicy'!$A:$E,2,FALSE)," ",VLOOKUP(N227,'[1]zawodnicy'!$A:$E,3,FALSE)," - ",VLOOKUP(N227,'[1]zawodnicy'!$A:$E,4,FALSE)),"")</f>
        <v>R0016 Oliwia RYBIŃSKA - Mielec</v>
      </c>
      <c r="V226" s="233"/>
      <c r="W226" s="39" t="str">
        <f>IF(SUM(AN228:AO228)=0,"",AO228&amp;":"&amp;AN228)</f>
        <v>6:21</v>
      </c>
      <c r="X226" s="72"/>
      <c r="Y226" s="42" t="str">
        <f>IF(SUM(AN227:AO227)=0,"",AN227&amp;":"&amp;AO227)</f>
        <v>7:21</v>
      </c>
      <c r="Z226" s="236" t="str">
        <f>IF(SUM(AV227:AW227,AZ227:BA227)=0,"",BD227&amp;":"&amp;BE227)</f>
        <v>27:84</v>
      </c>
      <c r="AA226" s="237" t="str">
        <f>IF(SUM(AV227:AW227,AZ227:BA227)=0,"",BF227&amp;":"&amp;BG227)</f>
        <v>0:4</v>
      </c>
      <c r="AB226" s="237" t="str">
        <f>IF(SUM(AV227:AW227,AZ227:BA227)=0,"",BH227&amp;":"&amp;BI227)</f>
        <v>0:2</v>
      </c>
      <c r="AC226" s="238">
        <f>IF(SUM(BH226:BH228)&gt;0,BJ227,"")</f>
        <v>3</v>
      </c>
      <c r="AD226" s="2"/>
      <c r="AE226" s="24"/>
      <c r="AF226" s="24"/>
      <c r="AG226" s="37" t="s">
        <v>15</v>
      </c>
      <c r="AH226" s="45">
        <f>IF(ISBLANK(S226),"",VLOOKUP(S226,'[1]plan_gier'!$X:$AN,12,FALSE))</f>
        <v>21</v>
      </c>
      <c r="AI226" s="46">
        <f>IF(ISBLANK(S226),"",VLOOKUP(S226,'[1]plan_gier'!$X:$AN,13,FALSE))</f>
        <v>9</v>
      </c>
      <c r="AJ226" s="46">
        <f>IF(ISBLANK(S226),"",VLOOKUP(S226,'[1]plan_gier'!$X:$AN,14,FALSE))</f>
        <v>21</v>
      </c>
      <c r="AK226" s="46">
        <f>IF(ISBLANK(S226),"",VLOOKUP(S226,'[1]plan_gier'!$X:$AN,15,FALSE))</f>
        <v>10</v>
      </c>
      <c r="AL226" s="46">
        <f>IF(ISBLANK(S226),"",VLOOKUP(S226,'[1]plan_gier'!$X:$AN,16,FALSE))</f>
        <v>0</v>
      </c>
      <c r="AM226" s="46">
        <f>IF(ISBLANK(S226),"",VLOOKUP(S226,'[1]plan_gier'!$X:$AN,17,FALSE))</f>
        <v>0</v>
      </c>
      <c r="AN226" s="94">
        <f aca="true" t="shared" si="30" ref="AN226:AS228">IF(AH226="",0,AH226)</f>
        <v>21</v>
      </c>
      <c r="AO226" s="44">
        <f t="shared" si="30"/>
        <v>9</v>
      </c>
      <c r="AP226" s="95">
        <f t="shared" si="30"/>
        <v>21</v>
      </c>
      <c r="AQ226" s="44">
        <f t="shared" si="30"/>
        <v>10</v>
      </c>
      <c r="AR226" s="95">
        <f t="shared" si="30"/>
        <v>0</v>
      </c>
      <c r="AS226" s="44">
        <f t="shared" si="30"/>
        <v>0</v>
      </c>
      <c r="AT226" s="48">
        <f>SUM(AN226:AS226)</f>
        <v>61</v>
      </c>
      <c r="AU226" s="49">
        <v>1</v>
      </c>
      <c r="AV226" s="96"/>
      <c r="AW226" s="97"/>
      <c r="AX226" s="46">
        <f>IF(AH228&gt;AI228,1,0)+IF(AJ228&gt;AK228,1,0)+IF(AL228&gt;AM228,1,0)</f>
        <v>2</v>
      </c>
      <c r="AY226" s="46">
        <f>AV227</f>
        <v>0</v>
      </c>
      <c r="AZ226" s="46">
        <f>IF(AH226&gt;AI226,1,0)+IF(AJ226&gt;AK226,1,0)+IF(AL226&gt;AM226,1,0)</f>
        <v>2</v>
      </c>
      <c r="BA226" s="47">
        <f>AV228</f>
        <v>0</v>
      </c>
      <c r="BD226" s="45">
        <f>AN226+AP226+AR226+AN228+AP228+AR228</f>
        <v>84</v>
      </c>
      <c r="BE226" s="47">
        <f>AO226+AQ226+AS226+AO228+AQ228+AS228</f>
        <v>29</v>
      </c>
      <c r="BF226" s="45">
        <f>AX226+AZ226</f>
        <v>4</v>
      </c>
      <c r="BG226" s="47">
        <f>AY226+BA226</f>
        <v>0</v>
      </c>
      <c r="BH226" s="45">
        <f>IF(AX226&gt;AY226,1,0)+IF(AZ226&gt;BA226,1,0)</f>
        <v>2</v>
      </c>
      <c r="BI226" s="51">
        <f>IF(AY226&gt;AX226,1,0)+IF(BA226&gt;AZ226,1,0)</f>
        <v>0</v>
      </c>
      <c r="BJ226" s="98">
        <f>IF(BH226+BI226=0,"",IF(BK226=MAX(BK226:BK228),1,IF(BK226=MIN(BK226:BK228),3,2)))</f>
        <v>1</v>
      </c>
      <c r="BK226" s="12">
        <f>IF(BH226+BI226&lt;&gt;0,BH226-BI226+(BF226-BG226)/100+(BD226-BE226)/10000,-2)</f>
        <v>2.0455</v>
      </c>
    </row>
    <row r="227" spans="1:63" ht="11.25" customHeight="1">
      <c r="A227" s="11">
        <f>S227</f>
        <v>68</v>
      </c>
      <c r="B227" s="2" t="str">
        <f>IF(N227="","",N227)</f>
        <v>R0016</v>
      </c>
      <c r="C227" s="2" t="str">
        <f>IF(N228="","",N228)</f>
        <v>H0006</v>
      </c>
      <c r="D227" s="2" t="str">
        <f>IF(N230="","",N230)</f>
        <v>G0017</v>
      </c>
      <c r="E227" s="2" t="str">
        <f>IF(N231="","",N231)</f>
        <v>W0014</v>
      </c>
      <c r="J227" s="2"/>
      <c r="K227" s="11"/>
      <c r="M227" s="2" t="str">
        <f>N223</f>
        <v>Gra podwójna</v>
      </c>
      <c r="N227" s="29" t="s">
        <v>20</v>
      </c>
      <c r="O227" s="30">
        <f>IF(O222&gt;0,(O222&amp;2)*1,"")</f>
        <v>42</v>
      </c>
      <c r="Q227" s="36">
        <f>IF(AT227&gt;0,"",IF(A227=0,"",IF(VLOOKUP(A227,'[1]plan_gier'!A:S,19,FALSE)="","",VLOOKUP(A227,'[1]plan_gier'!A:S,19,FALSE))))</f>
      </c>
      <c r="R227" s="37" t="s">
        <v>19</v>
      </c>
      <c r="S227" s="84">
        <v>68</v>
      </c>
      <c r="T227" s="236"/>
      <c r="U227" s="228">
        <f>IF(AND(N227&lt;&gt;"",N228=""),CONCATENATE(VLOOKUP(N227,'[1]zawodnicy'!$A:$E,1,FALSE)," ",VLOOKUP(N227,'[1]zawodnicy'!$A:$E,2,FALSE)," ",VLOOKUP(N227,'[1]zawodnicy'!$A:$E,3,FALSE)," - ",VLOOKUP(N227,'[1]zawodnicy'!$A:$E,4,FALSE)),"")</f>
      </c>
      <c r="V227" s="228"/>
      <c r="W227" s="56" t="str">
        <f>IF(SUM(AP228:AQ228)=0,"",AQ228&amp;":"&amp;AP228)</f>
        <v>4:21</v>
      </c>
      <c r="X227" s="82"/>
      <c r="Y227" s="58" t="str">
        <f>IF(SUM(AP227:AQ227)=0,"",AP227&amp;":"&amp;AQ227)</f>
        <v>10:21</v>
      </c>
      <c r="Z227" s="236"/>
      <c r="AA227" s="237"/>
      <c r="AB227" s="237"/>
      <c r="AC227" s="238"/>
      <c r="AD227" s="2"/>
      <c r="AE227" s="24"/>
      <c r="AF227" s="24"/>
      <c r="AG227" s="37" t="s">
        <v>19</v>
      </c>
      <c r="AH227" s="59">
        <f>IF(ISBLANK(S227),"",VLOOKUP(S227,'[1]plan_gier'!$X:$AN,12,FALSE))</f>
        <v>7</v>
      </c>
      <c r="AI227" s="60">
        <f>IF(ISBLANK(S227),"",VLOOKUP(S227,'[1]plan_gier'!$X:$AN,13,FALSE))</f>
        <v>21</v>
      </c>
      <c r="AJ227" s="60">
        <f>IF(ISBLANK(S227),"",VLOOKUP(S227,'[1]plan_gier'!$X:$AN,14,FALSE))</f>
        <v>10</v>
      </c>
      <c r="AK227" s="60">
        <f>IF(ISBLANK(S227),"",VLOOKUP(S227,'[1]plan_gier'!$X:$AN,15,FALSE))</f>
        <v>21</v>
      </c>
      <c r="AL227" s="60">
        <f>IF(ISBLANK(S227),"",VLOOKUP(S227,'[1]plan_gier'!$X:$AN,16,FALSE))</f>
        <v>0</v>
      </c>
      <c r="AM227" s="60">
        <f>IF(ISBLANK(S227),"",VLOOKUP(S227,'[1]plan_gier'!$X:$AN,17,FALSE))</f>
        <v>0</v>
      </c>
      <c r="AN227" s="99">
        <f t="shared" si="30"/>
        <v>7</v>
      </c>
      <c r="AO227" s="60">
        <f t="shared" si="30"/>
        <v>21</v>
      </c>
      <c r="AP227" s="100">
        <f t="shared" si="30"/>
        <v>10</v>
      </c>
      <c r="AQ227" s="60">
        <f t="shared" si="30"/>
        <v>21</v>
      </c>
      <c r="AR227" s="100">
        <f t="shared" si="30"/>
        <v>0</v>
      </c>
      <c r="AS227" s="60">
        <f t="shared" si="30"/>
        <v>0</v>
      </c>
      <c r="AT227" s="48">
        <f>SUM(AN227:AS227)</f>
        <v>59</v>
      </c>
      <c r="AU227" s="49">
        <v>2</v>
      </c>
      <c r="AV227" s="59">
        <f>IF(AH228&lt;AI228,1,0)+IF(AJ228&lt;AK228,1,0)+IF(AL228&lt;AM228,1,0)</f>
        <v>0</v>
      </c>
      <c r="AW227" s="60">
        <f>AX226</f>
        <v>2</v>
      </c>
      <c r="AX227" s="101"/>
      <c r="AY227" s="102"/>
      <c r="AZ227" s="60">
        <f>IF(AH227&gt;AI227,1,0)+IF(AJ227&gt;AK227,1,0)+IF(AL227&gt;AM227,1,0)</f>
        <v>0</v>
      </c>
      <c r="BA227" s="61">
        <f>AX228</f>
        <v>2</v>
      </c>
      <c r="BD227" s="59">
        <f>AN227+AP227+AR227+AO228+AQ228+AS228</f>
        <v>27</v>
      </c>
      <c r="BE227" s="61">
        <f>AO227+AQ227+AS227+AN228+AP228+AR228</f>
        <v>84</v>
      </c>
      <c r="BF227" s="59">
        <f>AV227+AZ227</f>
        <v>0</v>
      </c>
      <c r="BG227" s="61">
        <f>AW227+BA227</f>
        <v>4</v>
      </c>
      <c r="BH227" s="59">
        <f>IF(AV227&gt;AW227,1,0)+IF(AZ227&gt;BA227,1,0)</f>
        <v>0</v>
      </c>
      <c r="BI227" s="65">
        <f>IF(AW227&gt;AV227,1,0)+IF(BA227&gt;AZ227,1,0)</f>
        <v>2</v>
      </c>
      <c r="BJ227" s="66">
        <f>IF(BH227+BI227=0,"",IF(BK227=MAX(BK226:BK228),1,IF(BK227=MIN(BK226:BK228),3,2)))</f>
        <v>3</v>
      </c>
      <c r="BK227" s="12">
        <f>IF(BH227+BI227&lt;&gt;0,BH227-BI227+(BF227-BG227)/100+(BD227-BE227)/10000,-2)</f>
        <v>-2.0457</v>
      </c>
    </row>
    <row r="228" spans="1:63" ht="11.25" customHeight="1" thickBot="1">
      <c r="A228" s="11">
        <f>S228</f>
        <v>72</v>
      </c>
      <c r="B228" s="2" t="str">
        <f>IF(N224="","",N224)</f>
        <v>K0011</v>
      </c>
      <c r="C228" s="2" t="str">
        <f>IF(N225="","",N225)</f>
        <v>S0030</v>
      </c>
      <c r="D228" s="2" t="str">
        <f>IF(N227="","",N227)</f>
        <v>R0016</v>
      </c>
      <c r="E228" s="2" t="str">
        <f>IF(N228="","",N228)</f>
        <v>H0006</v>
      </c>
      <c r="I228" s="2" t="str">
        <f>"3"&amp;O222&amp;N223</f>
        <v>34Gra podwójna</v>
      </c>
      <c r="J228" s="2" t="str">
        <f>IF(AC229="","",IF(AC223=3,N224,IF(AC226=3,N227,IF(AC229=3,N230,""))))</f>
        <v>R0016</v>
      </c>
      <c r="K228" s="2" t="str">
        <f>IF(AC229="","",IF(AC223=3,N225,IF(AC226=3,N228,IF(AC229=3,N231,""))))</f>
        <v>H0006</v>
      </c>
      <c r="M228" s="2" t="str">
        <f>N223</f>
        <v>Gra podwójna</v>
      </c>
      <c r="N228" s="32" t="s">
        <v>16</v>
      </c>
      <c r="O228" s="31"/>
      <c r="P228" s="31"/>
      <c r="Q228" s="36">
        <f>IF(AT228&gt;0,"",IF(A228=0,"",IF(VLOOKUP(A228,'[1]plan_gier'!A:S,19,FALSE)="","",VLOOKUP(A228,'[1]plan_gier'!A:S,19,FALSE))))</f>
      </c>
      <c r="R228" s="37" t="s">
        <v>22</v>
      </c>
      <c r="S228" s="84">
        <v>72</v>
      </c>
      <c r="T228" s="236"/>
      <c r="U228" s="231" t="str">
        <f>IF(N228&lt;&gt;"",CONCATENATE(VLOOKUP(N228,'[1]zawodnicy'!$A:$E,1,FALSE)," ",VLOOKUP(N228,'[1]zawodnicy'!$A:$E,2,FALSE)," ",VLOOKUP(N228,'[1]zawodnicy'!$A:$E,3,FALSE)," - ",VLOOKUP(N228,'[1]zawodnicy'!$A:$E,4,FALSE)),"")</f>
        <v>H0006 Natalia HAŁATA - Mielec</v>
      </c>
      <c r="V228" s="231"/>
      <c r="W228" s="67">
        <f>IF(SUM(AR228:AS228)=0,"",AS228&amp;":"&amp;AR228)</f>
      </c>
      <c r="X228" s="82"/>
      <c r="Y228" s="68">
        <f>IF(SUM(AR227:AS227)=0,"",AR227&amp;":"&amp;AS227)</f>
      </c>
      <c r="Z228" s="236"/>
      <c r="AA228" s="237"/>
      <c r="AB228" s="237"/>
      <c r="AC228" s="238"/>
      <c r="AD228" s="2"/>
      <c r="AE228" s="24"/>
      <c r="AF228" s="24"/>
      <c r="AG228" s="37" t="s">
        <v>22</v>
      </c>
      <c r="AH228" s="78">
        <f>IF(ISBLANK(S228),"",VLOOKUP(S228,'[1]plan_gier'!$X:$AN,12,FALSE))</f>
        <v>21</v>
      </c>
      <c r="AI228" s="75">
        <f>IF(ISBLANK(S228),"",VLOOKUP(S228,'[1]plan_gier'!$X:$AN,13,FALSE))</f>
        <v>6</v>
      </c>
      <c r="AJ228" s="75">
        <f>IF(ISBLANK(S228),"",VLOOKUP(S228,'[1]plan_gier'!$X:$AN,14,FALSE))</f>
        <v>21</v>
      </c>
      <c r="AK228" s="75">
        <f>IF(ISBLANK(S228),"",VLOOKUP(S228,'[1]plan_gier'!$X:$AN,15,FALSE))</f>
        <v>4</v>
      </c>
      <c r="AL228" s="75">
        <f>IF(ISBLANK(S228),"",VLOOKUP(S228,'[1]plan_gier'!$X:$AN,16,FALSE))</f>
        <v>0</v>
      </c>
      <c r="AM228" s="75">
        <f>IF(ISBLANK(S228),"",VLOOKUP(S228,'[1]plan_gier'!$X:$AN,17,FALSE))</f>
        <v>0</v>
      </c>
      <c r="AN228" s="103">
        <f t="shared" si="30"/>
        <v>21</v>
      </c>
      <c r="AO228" s="75">
        <f t="shared" si="30"/>
        <v>6</v>
      </c>
      <c r="AP228" s="104">
        <f t="shared" si="30"/>
        <v>21</v>
      </c>
      <c r="AQ228" s="75">
        <f t="shared" si="30"/>
        <v>4</v>
      </c>
      <c r="AR228" s="104">
        <f t="shared" si="30"/>
        <v>0</v>
      </c>
      <c r="AS228" s="75">
        <f t="shared" si="30"/>
        <v>0</v>
      </c>
      <c r="AT228" s="48">
        <f>SUM(AN228:AS228)</f>
        <v>52</v>
      </c>
      <c r="AU228" s="49">
        <v>3</v>
      </c>
      <c r="AV228" s="78">
        <f>IF(AH226&lt;AI226,1,0)+IF(AJ226&lt;AK226,1,0)+IF(AL226&lt;AM226,1,0)</f>
        <v>0</v>
      </c>
      <c r="AW228" s="75">
        <f>AZ226</f>
        <v>2</v>
      </c>
      <c r="AX228" s="75">
        <f>IF(AH227&lt;AI227,1,0)+IF(AJ227&lt;AK227,1,0)+IF(AL227&lt;AM227,1,0)</f>
        <v>2</v>
      </c>
      <c r="AY228" s="75">
        <f>AZ227</f>
        <v>0</v>
      </c>
      <c r="AZ228" s="105"/>
      <c r="BA228" s="106"/>
      <c r="BD228" s="78">
        <f>AO226+AQ226+AS226+AO227+AQ227+AS227</f>
        <v>61</v>
      </c>
      <c r="BE228" s="80">
        <f>AN226+AP226+AR226+AN227+AP227+AR227</f>
        <v>59</v>
      </c>
      <c r="BF228" s="78">
        <f>AV228+AX228</f>
        <v>2</v>
      </c>
      <c r="BG228" s="80">
        <f>AW228+AY228</f>
        <v>2</v>
      </c>
      <c r="BH228" s="78">
        <f>IF(AV228&gt;AW228,1,0)+IF(AX228&gt;AY228,1,0)</f>
        <v>1</v>
      </c>
      <c r="BI228" s="79">
        <f>IF(AW228&gt;AV228,1,0)+IF(AY228&gt;AX228,1,0)</f>
        <v>1</v>
      </c>
      <c r="BJ228" s="81">
        <f>IF(BH228+BI228=0,"",IF(BK228=MAX(BK226:BK228),1,IF(BK228=MIN(BK226:BK228),3,2)))</f>
        <v>2</v>
      </c>
      <c r="BK228" s="12">
        <f>IF(BH228+BI228&lt;&gt;0,BH228-BI228+(BF228-BG228)/100+(BD228-BE228)/10000,-2)</f>
        <v>0.0002</v>
      </c>
    </row>
    <row r="229" spans="1:59" ht="11.25" customHeight="1" thickBot="1">
      <c r="A229" s="2"/>
      <c r="J229" s="31"/>
      <c r="K229" s="31"/>
      <c r="L229" s="31"/>
      <c r="O229" s="31"/>
      <c r="P229" s="31"/>
      <c r="Q229" s="2"/>
      <c r="R229" s="2"/>
      <c r="S229" s="2"/>
      <c r="T229" s="232">
        <v>3</v>
      </c>
      <c r="U229" s="233" t="str">
        <f>IF(AND(N230&lt;&gt;"",N231&lt;&gt;""),CONCATENATE(VLOOKUP(N230,'[1]zawodnicy'!$A:$E,1,FALSE)," ",VLOOKUP(N230,'[1]zawodnicy'!$A:$E,2,FALSE)," ",VLOOKUP(N230,'[1]zawodnicy'!$A:$E,3,FALSE)," - ",VLOOKUP(N230,'[1]zawodnicy'!$A:$E,4,FALSE)),"")</f>
        <v>G0017 Grzegorz GODZWAN - Rzeszów</v>
      </c>
      <c r="V229" s="233"/>
      <c r="W229" s="39" t="str">
        <f>IF(SUM(AN226:AO226)=0,"",AO226&amp;":"&amp;AN226)</f>
        <v>9:21</v>
      </c>
      <c r="X229" s="41" t="str">
        <f>IF(SUM(AN227:AO227)=0,"",AO227&amp;":"&amp;AN227)</f>
        <v>21:7</v>
      </c>
      <c r="Y229" s="107"/>
      <c r="Z229" s="232" t="str">
        <f>IF(SUM(AV228:AY228)=0,"",BD228&amp;":"&amp;BE228)</f>
        <v>61:59</v>
      </c>
      <c r="AA229" s="234" t="str">
        <f>IF(SUM(AV228:AY228)=0,"",BF228&amp;":"&amp;BG228)</f>
        <v>2:2</v>
      </c>
      <c r="AB229" s="234" t="str">
        <f>IF(SUM(AV228:AY228)=0,"",BH228&amp;":"&amp;BI228)</f>
        <v>1:1</v>
      </c>
      <c r="AC229" s="227">
        <f>IF(SUM(BH226:BH228)&gt;0,BJ228,"")</f>
        <v>2</v>
      </c>
      <c r="AD229" s="2"/>
      <c r="AE229" s="24"/>
      <c r="AF229" s="24"/>
      <c r="BD229" s="11">
        <f>SUM(BD226:BD228)</f>
        <v>172</v>
      </c>
      <c r="BE229" s="11">
        <f>SUM(BE226:BE228)</f>
        <v>172</v>
      </c>
      <c r="BF229" s="11">
        <f>SUM(BF226:BF228)</f>
        <v>6</v>
      </c>
      <c r="BG229" s="11">
        <f>SUM(BG226:BG228)</f>
        <v>6</v>
      </c>
    </row>
    <row r="230" spans="1:63" ht="11.25" customHeight="1" thickBot="1">
      <c r="A230" s="11"/>
      <c r="J230" s="11"/>
      <c r="K230" s="11"/>
      <c r="L230" s="11"/>
      <c r="N230" s="29" t="s">
        <v>49</v>
      </c>
      <c r="O230" s="30">
        <f>IF(O222&gt;0,(O222&amp;3)*1,"")</f>
        <v>43</v>
      </c>
      <c r="Q230" s="10"/>
      <c r="R230" s="10"/>
      <c r="S230" s="84"/>
      <c r="T230" s="232"/>
      <c r="U230" s="228">
        <f>IF(AND(N230&lt;&gt;"",N231=""),CONCATENATE(VLOOKUP(N230,'[1]zawodnicy'!$A:$E,1,FALSE)," ",VLOOKUP(N230,'[1]zawodnicy'!$A:$E,2,FALSE)," ",VLOOKUP(N230,'[1]zawodnicy'!$A:$E,3,FALSE)," - ",VLOOKUP(N230,'[1]zawodnicy'!$A:$E,4,FALSE)),"")</f>
      </c>
      <c r="V230" s="228"/>
      <c r="W230" s="56" t="str">
        <f>IF(SUM(AP226:AQ226)=0,"",AQ226&amp;":"&amp;AP226)</f>
        <v>10:21</v>
      </c>
      <c r="X230" s="27" t="str">
        <f>IF(SUM(AP227:AQ227)=0,"",AQ227&amp;":"&amp;AP227)</f>
        <v>21:10</v>
      </c>
      <c r="Y230" s="108"/>
      <c r="Z230" s="232"/>
      <c r="AA230" s="234"/>
      <c r="AB230" s="234"/>
      <c r="AC230" s="227"/>
      <c r="AD230" s="2"/>
      <c r="AE230" s="24"/>
      <c r="AF230" s="24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1:63" ht="11.25" customHeight="1" thickBot="1">
      <c r="A231" s="2"/>
      <c r="J231" s="31"/>
      <c r="K231" s="31"/>
      <c r="L231" s="31"/>
      <c r="N231" s="32" t="s">
        <v>53</v>
      </c>
      <c r="O231" s="31"/>
      <c r="P231" s="31"/>
      <c r="Q231" s="2"/>
      <c r="R231" s="2"/>
      <c r="S231" s="2"/>
      <c r="T231" s="232"/>
      <c r="U231" s="229" t="str">
        <f>IF(N231&lt;&gt;"",CONCATENATE(VLOOKUP(N231,'[1]zawodnicy'!$A:$E,1,FALSE)," ",VLOOKUP(N231,'[1]zawodnicy'!$A:$E,2,FALSE)," ",VLOOKUP(N231,'[1]zawodnicy'!$A:$E,3,FALSE)," - ",VLOOKUP(N231,'[1]zawodnicy'!$A:$E,4,FALSE)),"")</f>
        <v>W0014 Mariusz  WARNECKI - Rzeszów</v>
      </c>
      <c r="V231" s="229"/>
      <c r="W231" s="86">
        <f>IF(SUM(AR226:AS226)=0,"",AS226&amp;":"&amp;AR226)</f>
      </c>
      <c r="X231" s="87">
        <f>IF(SUM(AR227:AS227)=0,"",AS227&amp;":"&amp;AR227)</f>
      </c>
      <c r="Y231" s="88"/>
      <c r="Z231" s="232"/>
      <c r="AA231" s="234"/>
      <c r="AB231" s="234"/>
      <c r="AC231" s="227"/>
      <c r="AD231" s="2"/>
      <c r="AE231" s="24"/>
      <c r="AF231" s="24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ht="11.25" customHeight="1"/>
    <row r="233" ht="11.25" customHeight="1"/>
    <row r="234" ht="11.25" customHeight="1">
      <c r="U234" s="49" t="s">
        <v>76</v>
      </c>
    </row>
    <row r="235" ht="11.25" customHeight="1"/>
    <row r="236" spans="10:63" ht="11.25" customHeight="1">
      <c r="J236" s="2"/>
      <c r="K236" s="2"/>
      <c r="L236" s="2"/>
      <c r="M236" s="125"/>
      <c r="N236" s="192">
        <v>1</v>
      </c>
      <c r="O236" s="193">
        <v>4</v>
      </c>
      <c r="P236" s="110"/>
      <c r="Q236" s="1"/>
      <c r="R236" s="1"/>
      <c r="S236" s="230"/>
      <c r="T236" s="230"/>
      <c r="U236" s="230"/>
      <c r="V236" s="230"/>
      <c r="W236" s="230"/>
      <c r="X236" s="230"/>
      <c r="Y236" s="230"/>
      <c r="Z236" s="230"/>
      <c r="AA236" s="230"/>
      <c r="AB236" s="230"/>
      <c r="AC236" s="112"/>
      <c r="AD236" s="112"/>
      <c r="AE236" s="11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10:63" ht="11.25" customHeight="1">
      <c r="J237" s="2"/>
      <c r="K237" s="2"/>
      <c r="L237" s="2"/>
      <c r="N237" s="194" t="s">
        <v>73</v>
      </c>
      <c r="P237" s="110"/>
      <c r="Q237" s="1"/>
      <c r="R237" s="1"/>
      <c r="S237" s="1"/>
      <c r="T237" s="1"/>
      <c r="U237" s="112"/>
      <c r="V237" s="112"/>
      <c r="W237" s="11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10:63" ht="11.25" customHeight="1">
      <c r="J238" s="2"/>
      <c r="K238" s="2"/>
      <c r="L238" s="2"/>
      <c r="M238" s="125"/>
      <c r="N238" s="195"/>
      <c r="O238" s="196">
        <f>IF(P238="","",1)</f>
        <v>1</v>
      </c>
      <c r="P238" s="197">
        <f>IF(O236&gt;2,1,"")</f>
        <v>1</v>
      </c>
      <c r="Q238" s="111">
        <f>O238</f>
        <v>1</v>
      </c>
      <c r="R238" s="111"/>
      <c r="S238" s="217" t="str">
        <f>UPPER(IF(O238="","",IF(ISTEXT(N238),N238,IF(AND(N236&gt;0,O238&gt;0),VLOOKUP(N236&amp;O238&amp;N237,I:K,2,FALSE),""))))</f>
        <v>K0012</v>
      </c>
      <c r="T238" s="217"/>
      <c r="U238" s="198" t="str">
        <f>IF(S238&lt;&gt;"",CONCATENATE(VLOOKUP(S238,'[1]zawodnicy'!$A:$E,2,FALSE)," ",VLOOKUP(S238,'[1]zawodnicy'!$A:$E,3,FALSE)," - ",VLOOKUP(S238,'[1]zawodnicy'!$A:$E,4,FALSE)),"")</f>
        <v>Piotr KOTERBA - Rzeszów</v>
      </c>
      <c r="V238" s="199"/>
      <c r="W238" s="218" t="str">
        <f>IF(ISBLANK(V239),IF(AND(LEN(S238)&gt;0,LEN(S240)=0),VLOOKUP(S238,'[1]zawodnicy'!$A:$E,3,FALSE),IF(AND(LEN(S240)&gt;0,LEN(S238)=0),VLOOKUP(S240,'[1]zawodnicy'!$A:$E,3,FALSE),"")),IF((VLOOKUP(V239,'[1]plan_gier'!$X:$AF,7,FALSE))="","",VLOOKUP(VLOOKUP(V239,'[1]plan_gier'!$X:$AF,7,FALSE),'[1]zawodnicy'!$A:$E,3,FALSE)))</f>
        <v>KOTERBA</v>
      </c>
      <c r="X238" s="218"/>
      <c r="Y238" s="218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1:63" ht="11.25" customHeight="1">
      <c r="A239" s="113">
        <f>V239</f>
        <v>73</v>
      </c>
      <c r="B239" s="2" t="str">
        <f>IF(TYPE(S238)=16,"",S238)</f>
        <v>K0012</v>
      </c>
      <c r="C239" s="2" t="str">
        <f>IF(TYPE(S239)=16,"",S239)</f>
        <v>D0008</v>
      </c>
      <c r="D239" s="2" t="str">
        <f>IF(TYPE(S240)=16,"",S240)</f>
        <v>S0028</v>
      </c>
      <c r="E239" s="2" t="str">
        <f>IF(TYPE(S241)=16,"",S241)</f>
        <v>S0029</v>
      </c>
      <c r="F239" s="2" t="str">
        <f>IF(A239=0,IF(AND(LEN(B239)&gt;1,LEN(D239)=0),VLOOKUP(B239,'[1]zawodnicy'!$A:$E,1,FALSE),IF(AND(LEN(D239)&gt;1,LEN(B239)=0),VLOOKUP(D239,'[1]zawodnicy'!$A:$E,1,FALSE),"")),IF((VLOOKUP(A239,'[1]plan_gier'!$X:$AF,7,FALSE))="","",VLOOKUP(VLOOKUP(A239,'[1]plan_gier'!$X:$AF,7,FALSE),'[1]zawodnicy'!$A:$E,1,FALSE)))</f>
        <v>K0012</v>
      </c>
      <c r="G239" s="2" t="str">
        <f>IF(A239=0,IF(AND(LEN(C239)&gt;1,LEN(E239)=0),VLOOKUP(C239,'[1]zawodnicy'!$A:$E,1,FALSE),IF(AND(LEN(E239)&gt;1,LEN(C239)=0),VLOOKUP(E239,'[1]zawodnicy'!$A:$E,1,FALSE),"")),IF((VLOOKUP(A239,'[1]plan_gier'!$X:$AF,8,FALSE))="","",VLOOKUP(VLOOKUP(A239,'[1]plan_gier'!$X:$AF,8,FALSE),'[1]zawodnicy'!$A:$E,1,FALSE)))</f>
        <v>D0008</v>
      </c>
      <c r="H239" s="2" t="str">
        <f>IF(A239=0,"",IF((VLOOKUP(A239,'[1]plan_gier'!$X:$AF,7,FALSE))="","",VLOOKUP(A239,'[1]plan_gier'!$X:$AF,9,FALSE)))</f>
        <v>21:8,21:11</v>
      </c>
      <c r="L239" s="127" t="str">
        <f>IF(A239=0,"",IF(VLOOKUP(A239,'[1]plan_gier'!A:S,19,FALSE)="","",VLOOKUP(A239,'[1]plan_gier'!A:S,19,FALSE)))</f>
        <v>godz.15:00</v>
      </c>
      <c r="M239" s="2" t="str">
        <f>N237</f>
        <v>Gra podwójna</v>
      </c>
      <c r="N239" s="201"/>
      <c r="O239" s="197"/>
      <c r="P239" s="197"/>
      <c r="Q239" s="112"/>
      <c r="R239" s="112"/>
      <c r="S239" s="216" t="str">
        <f>UPPER(IF(O238="","",IF(ISTEXT(N239),N239,IF(AND(N236&gt;0,O238&gt;0),VLOOKUP(N236&amp;O238&amp;N237,I:K,3,FALSE),""))))</f>
        <v>D0008</v>
      </c>
      <c r="T239" s="216"/>
      <c r="U239" s="202" t="str">
        <f>IF(S239&lt;&gt;"",CONCATENATE(VLOOKUP(S239,'[1]zawodnicy'!$A:$E,2,FALSE)," ",VLOOKUP(S239,'[1]zawodnicy'!$A:$E,3,FALSE)," - ",VLOOKUP(S239,'[1]zawodnicy'!$A:$E,4,FALSE)),"")</f>
        <v>Patrycja DOMAŃSKA - Rzeszów</v>
      </c>
      <c r="V239" s="203">
        <v>73</v>
      </c>
      <c r="W239" s="219" t="str">
        <f>IF(ISBLANK(V239),IF(AND(LEN(S239)&gt;0,LEN(S241)=0),VLOOKUP(S239,'[1]zawodnicy'!$A:$E,3,FALSE),IF(AND(LEN(S241)&gt;0,LEN(S239)=0),VLOOKUP(S241,'[1]zawodnicy'!$A:$E,3,FALSE),"")),IF((VLOOKUP(V239,'[1]plan_gier'!$X:$AF,8,FALSE))="","",VLOOKUP(VLOOKUP(V239,'[1]plan_gier'!$X:$AF,8,FALSE),'[1]zawodnicy'!$A:$E,3,FALSE)))</f>
        <v>DOMAŃSKA</v>
      </c>
      <c r="X239" s="219"/>
      <c r="Y239" s="219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10:63" ht="11.25" customHeight="1">
      <c r="J240" s="2"/>
      <c r="K240" s="2"/>
      <c r="L240" s="2"/>
      <c r="M240" s="125"/>
      <c r="N240" s="201"/>
      <c r="O240" s="196">
        <f>IF(P240="","",MAX(O238:O239)+1)</f>
        <v>2</v>
      </c>
      <c r="P240" s="197">
        <f>IF(O236&gt;3,9,"")</f>
        <v>9</v>
      </c>
      <c r="Q240" s="111">
        <f>O240</f>
        <v>2</v>
      </c>
      <c r="R240" s="111"/>
      <c r="S240" s="217" t="str">
        <f>UPPER(IF(O240="","",IF(ISTEXT(N240),N240,IF(AND(N236&gt;0,O240&gt;0),VLOOKUP(N236&amp;O240&amp;N237,I:K,2,FALSE),""))))</f>
        <v>S0028</v>
      </c>
      <c r="T240" s="217"/>
      <c r="U240" s="198" t="str">
        <f>IF(S240&lt;&gt;"",CONCATENATE(VLOOKUP(S240,'[1]zawodnicy'!$A:$E,2,FALSE)," ",VLOOKUP(S240,'[1]zawodnicy'!$A:$E,3,FALSE)," - ",VLOOKUP(S240,'[1]zawodnicy'!$A:$E,4,FALSE)),"")</f>
        <v>Tobiasz SAŁAGAJ - Mielec</v>
      </c>
      <c r="V240" s="204"/>
      <c r="W240" s="226" t="str">
        <f>IF(ISBLANK(V239),"",IF((VLOOKUP(V239,'[1]plan_gier'!$X:$AF,7,FALSE))="",L239,VLOOKUP(V239,'[1]plan_gier'!$X:$AF,9,FALSE)))</f>
        <v>21:8,21:11</v>
      </c>
      <c r="X240" s="226"/>
      <c r="Y240" s="226"/>
      <c r="Z240" s="218" t="str">
        <f>IF(ISBLANK(Y241),IF(AND(LEN(W238)&gt;0,LEN(W242)=0),W238,IF(AND(LEN(W242)&gt;0,LEN(W238)=0),W242,"")),IF((VLOOKUP(Y241,'[1]plan_gier'!$X:$AF,7,FALSE))="","",VLOOKUP(VLOOKUP(Y241,'[1]plan_gier'!$X:$AF,7,FALSE),'[1]zawodnicy'!$A:$E,3,FALSE)))</f>
        <v>KOŚMIDER</v>
      </c>
      <c r="AA240" s="218"/>
      <c r="AB240" s="218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1:28" s="2" customFormat="1" ht="15.75" thickBot="1">
      <c r="A241" s="120">
        <f>Y241</f>
        <v>76</v>
      </c>
      <c r="B241" s="2" t="str">
        <f>F239</f>
        <v>K0012</v>
      </c>
      <c r="C241" s="2" t="str">
        <f>G239</f>
        <v>D0008</v>
      </c>
      <c r="D241" s="2" t="str">
        <f>F243</f>
        <v>K0011</v>
      </c>
      <c r="E241" s="2" t="str">
        <f>G243</f>
        <v>S0030</v>
      </c>
      <c r="F241" s="2" t="str">
        <f>IF(A241=0,IF(AND(LEN(B241)&gt;0,LEN(D241)=0),B241,IF(AND(LEN(D241)&gt;0,LEN(B241)=0),D241,"")),IF((VLOOKUP(A241,'[1]plan_gier'!$X:$AF,7,FALSE))="","",VLOOKUP(VLOOKUP(A241,'[1]plan_gier'!$X:$AF,7,FALSE),'[1]zawodnicy'!$A:$E,1,FALSE)))</f>
        <v>K0011</v>
      </c>
      <c r="G241" s="2" t="str">
        <f>IF(A241=0,IF(AND(LEN(C241)&gt;0,LEN(E241)=0),C241,IF(AND(LEN(E241)&gt;0,LEN(C241)=0),E241,"")),IF((VLOOKUP(A241,'[1]plan_gier'!$X:$AF,8,FALSE))="","",VLOOKUP(VLOOKUP(A241,'[1]plan_gier'!$X:$AF,8,FALSE),'[1]zawodnicy'!$A:$E,1,FALSE)))</f>
        <v>S0030</v>
      </c>
      <c r="H241" s="2" t="str">
        <f>IF(A241=0,"",IF((VLOOKUP(A241,'[1]plan_gier'!$X:$AF,7,FALSE))="","",VLOOKUP(A241,'[1]plan_gier'!$X:$AF,9,FALSE)))</f>
        <v>21:5,21:11</v>
      </c>
      <c r="J241" s="7"/>
      <c r="K241" s="7"/>
      <c r="L241" s="127" t="str">
        <f>IF(A241=0,"",IF(VLOOKUP(A241,'[1]plan_gier'!A:S,19,FALSE)="","",VLOOKUP(A241,'[1]plan_gier'!A:S,19,FALSE)))</f>
        <v>godz.15:00</v>
      </c>
      <c r="M241" s="2" t="str">
        <f>N237</f>
        <v>Gra podwójna</v>
      </c>
      <c r="N241" s="205"/>
      <c r="O241" s="197"/>
      <c r="P241" s="197"/>
      <c r="Q241" s="112"/>
      <c r="R241" s="112"/>
      <c r="S241" s="223" t="str">
        <f>UPPER(IF(O240="","",IF(ISTEXT(N241),N241,IF(AND(N236&gt;0,O240&gt;0),VLOOKUP(N236&amp;O240&amp;N237,I:K,3,FALSE),""))))</f>
        <v>S0029</v>
      </c>
      <c r="T241" s="223"/>
      <c r="U241" s="206" t="str">
        <f>IF(S241&lt;&gt;"",CONCATENATE(VLOOKUP(S241,'[1]zawodnicy'!$A:$E,2,FALSE)," ",VLOOKUP(S241,'[1]zawodnicy'!$A:$E,3,FALSE)," - ",VLOOKUP(S241,'[1]zawodnicy'!$A:$E,4,FALSE)),"")</f>
        <v>Patryk STOLARZ - Mielec</v>
      </c>
      <c r="V241" s="207"/>
      <c r="W241" s="112"/>
      <c r="Y241" s="121">
        <v>76</v>
      </c>
      <c r="Z241" s="219" t="str">
        <f>IF(ISBLANK(Y241),IF(AND(LEN(W239)&gt;0,LEN(W243)=0),W239,IF(AND(LEN(W243)&gt;0,LEN(W239)=0),W243,"")),IF((VLOOKUP(Y241,'[1]plan_gier'!$X:$AF,8,FALSE))="","",VLOOKUP(VLOOKUP(Y241,'[1]plan_gier'!$X:$AF,8,FALSE),'[1]zawodnicy'!$A:$E,3,FALSE)))</f>
        <v>SZYMURA</v>
      </c>
      <c r="AA241" s="219"/>
      <c r="AB241" s="219"/>
    </row>
    <row r="242" spans="1:28" s="2" customFormat="1" ht="15.75" thickTop="1">
      <c r="A242" s="1"/>
      <c r="M242" s="125"/>
      <c r="N242" s="208"/>
      <c r="O242" s="196">
        <f>IF(P242="","",MAX(O238:O241)+1)</f>
        <v>3</v>
      </c>
      <c r="P242" s="197">
        <f>IF(O236&gt;2,24,"")</f>
        <v>24</v>
      </c>
      <c r="Q242" s="111">
        <f>O242</f>
        <v>3</v>
      </c>
      <c r="R242" s="111"/>
      <c r="S242" s="224" t="str">
        <f>UPPER(IF(O242="","",IF(ISTEXT(N242),N242,IF(AND(N236&gt;0,O242&gt;0),VLOOKUP(N236&amp;O242&amp;N237,I:K,2,FALSE),""))))</f>
        <v>G0011</v>
      </c>
      <c r="T242" s="224"/>
      <c r="U242" s="209" t="str">
        <f>IF(S242&lt;&gt;"",CONCATENATE(VLOOKUP(S242,'[1]zawodnicy'!$A:$E,2,FALSE)," ",VLOOKUP(S242,'[1]zawodnicy'!$A:$E,3,FALSE)," - ",VLOOKUP(S242,'[1]zawodnicy'!$A:$E,4,FALSE)),"")</f>
        <v>Jakub GERCZAK - Sanok</v>
      </c>
      <c r="V242" s="210"/>
      <c r="W242" s="225" t="str">
        <f>IF(ISBLANK(V243),IF(AND(LEN(S242)&gt;0,LEN(S244)=0),VLOOKUP(S242,'[1]zawodnicy'!$A:$E,3,FALSE),IF(AND(LEN(S244)&gt;0,LEN(S242)=0),VLOOKUP(S244,'[1]zawodnicy'!$A:$E,3,FALSE),"")),IF((VLOOKUP(V243,'[1]plan_gier'!$X:$AF,7,FALSE))="","",VLOOKUP(VLOOKUP(V243,'[1]plan_gier'!$X:$AF,7,FALSE),'[1]zawodnicy'!$A:$E,3,FALSE)))</f>
        <v>KOŚMIDER</v>
      </c>
      <c r="X242" s="225"/>
      <c r="Y242" s="225"/>
      <c r="Z242" s="220" t="str">
        <f>IF(ISBLANK(Y241),"",IF((VLOOKUP(Y241,'[1]plan_gier'!$X:$AF,7,FALSE))="",L241,VLOOKUP(Y241,'[1]plan_gier'!$X:$AF,9,FALSE)))</f>
        <v>21:5,21:11</v>
      </c>
      <c r="AA242" s="220"/>
      <c r="AB242" s="220"/>
    </row>
    <row r="243" spans="1:25" s="2" customFormat="1" ht="11.25" customHeight="1">
      <c r="A243" s="113">
        <f>V243</f>
        <v>74</v>
      </c>
      <c r="B243" s="2" t="str">
        <f>IF(TYPE(S242)=16,"",S242)</f>
        <v>G0011</v>
      </c>
      <c r="C243" s="2" t="str">
        <f>IF(TYPE(S243)=16,"",S243)</f>
        <v>S0035</v>
      </c>
      <c r="D243" s="2" t="str">
        <f>IF(TYPE(S244)=16,"",S244)</f>
        <v>K0011</v>
      </c>
      <c r="E243" s="2" t="str">
        <f>IF(TYPE(S245)=16,"",S245)</f>
        <v>S0030</v>
      </c>
      <c r="F243" s="2" t="str">
        <f>IF(A243=0,IF(AND(LEN(B243)&gt;1,LEN(D243)=0),VLOOKUP(B243,'[1]zawodnicy'!$A:$E,1,FALSE),IF(AND(LEN(D243)&gt;1,LEN(B243)=0),VLOOKUP(D243,'[1]zawodnicy'!$A:$E,1,FALSE),"")),IF((VLOOKUP(A243,'[1]plan_gier'!$X:$AF,7,FALSE))="","",VLOOKUP(VLOOKUP(A243,'[1]plan_gier'!$X:$AF,7,FALSE),'[1]zawodnicy'!$A:$E,1,FALSE)))</f>
        <v>K0011</v>
      </c>
      <c r="G243" s="2" t="str">
        <f>IF(A243=0,IF(AND(LEN(C243)&gt;1,LEN(E243)=0),VLOOKUP(C243,'[1]zawodnicy'!$A:$E,1,FALSE),IF(AND(LEN(E243)&gt;1,LEN(C243)=0),VLOOKUP(E243,'[1]zawodnicy'!$A:$E,1,FALSE),"")),IF((VLOOKUP(A243,'[1]plan_gier'!$X:$AF,8,FALSE))="","",VLOOKUP(VLOOKUP(A243,'[1]plan_gier'!$X:$AF,8,FALSE),'[1]zawodnicy'!$A:$E,1,FALSE)))</f>
        <v>S0030</v>
      </c>
      <c r="H243" s="2" t="str">
        <f>IF(A243=0,"",IF((VLOOKUP(A243,'[1]plan_gier'!$X:$AF,7,FALSE))="","",VLOOKUP(A243,'[1]plan_gier'!$X:$AF,9,FALSE)))</f>
        <v>21:11,21:14</v>
      </c>
      <c r="J243" s="7"/>
      <c r="K243" s="7"/>
      <c r="L243" s="127" t="str">
        <f>IF(A243=0,"",IF(VLOOKUP(A243,'[1]plan_gier'!A:S,19,FALSE)="","",VLOOKUP(A243,'[1]plan_gier'!A:S,19,FALSE)))</f>
        <v>godz.15:00</v>
      </c>
      <c r="M243" s="2" t="str">
        <f>N237</f>
        <v>Gra podwójna</v>
      </c>
      <c r="N243" s="201"/>
      <c r="O243" s="197"/>
      <c r="P243" s="197"/>
      <c r="Q243" s="112"/>
      <c r="R243" s="112"/>
      <c r="S243" s="216" t="str">
        <f>UPPER(IF(O242="","",IF(ISTEXT(N243),N243,IF(AND(N236&gt;0,O242&gt;0),VLOOKUP(N236&amp;O242&amp;N237,I:K,3,FALSE),""))))</f>
        <v>S0035</v>
      </c>
      <c r="T243" s="216"/>
      <c r="U243" s="202" t="str">
        <f>IF(S243&lt;&gt;"",CONCATENATE(VLOOKUP(S243,'[1]zawodnicy'!$A:$E,2,FALSE)," ",VLOOKUP(S243,'[1]zawodnicy'!$A:$E,3,FALSE)," - ",VLOOKUP(S243,'[1]zawodnicy'!$A:$E,4,FALSE)),"")</f>
        <v>Kuba SITEK - Rzeszów</v>
      </c>
      <c r="V243" s="203">
        <v>74</v>
      </c>
      <c r="W243" s="221" t="str">
        <f>IF(ISBLANK(V243),IF(AND(LEN(S243)&gt;0,LEN(S245)=0),VLOOKUP(S243,'[1]zawodnicy'!$A:$E,3,FALSE),IF(AND(LEN(S245)&gt;0,LEN(S243)=0),VLOOKUP(S245,'[1]zawodnicy'!$A:$E,3,FALSE),"")),IF((VLOOKUP(V243,'[1]plan_gier'!$X:$AF,8,FALSE))="","",VLOOKUP(VLOOKUP(V243,'[1]plan_gier'!$X:$AF,8,FALSE),'[1]zawodnicy'!$A:$E,3,FALSE)))</f>
        <v>SZYMURA</v>
      </c>
      <c r="X243" s="221"/>
      <c r="Y243" s="221"/>
    </row>
    <row r="244" spans="1:31" s="2" customFormat="1" ht="11.25" customHeight="1">
      <c r="A244" s="1"/>
      <c r="M244" s="125"/>
      <c r="N244" s="201"/>
      <c r="O244" s="196">
        <f>IF(P244="","",MAX(O238:O243)+1)</f>
        <v>4</v>
      </c>
      <c r="P244" s="197">
        <f>IF(O236&gt;2,32,"")</f>
        <v>32</v>
      </c>
      <c r="Q244" s="111">
        <f>O244</f>
        <v>4</v>
      </c>
      <c r="R244" s="111"/>
      <c r="S244" s="217" t="str">
        <f>UPPER(IF(O244="","",IF(ISTEXT(N244),N244,IF(AND(N236&gt;0,O244&gt;0),VLOOKUP(N236&amp;O244&amp;N237,I:K,2,FALSE),""))))</f>
        <v>K0011</v>
      </c>
      <c r="T244" s="217"/>
      <c r="U244" s="198" t="str">
        <f>IF(S244&lt;&gt;"",CONCATENATE(VLOOKUP(S244,'[1]zawodnicy'!$A:$E,2,FALSE)," ",VLOOKUP(S244,'[1]zawodnicy'!$A:$E,3,FALSE)," - ",VLOOKUP(S244,'[1]zawodnicy'!$A:$E,4,FALSE)),"")</f>
        <v>Bartłomiej KOŚMIDER - Szczucin</v>
      </c>
      <c r="V244" s="204"/>
      <c r="W244" s="220" t="str">
        <f>IF(ISBLANK(V243),"",IF((VLOOKUP(V243,'[1]plan_gier'!$X:$AF,7,FALSE))="",L243,VLOOKUP(V243,'[1]plan_gier'!$X:$AF,9,FALSE)))</f>
        <v>21:11,21:14</v>
      </c>
      <c r="X244" s="220"/>
      <c r="Y244" s="220"/>
      <c r="AB244" s="112"/>
      <c r="AC244" s="112"/>
      <c r="AD244" s="112"/>
      <c r="AE244" s="112"/>
    </row>
    <row r="245" spans="1:31" s="2" customFormat="1" ht="11.25" customHeight="1">
      <c r="A245" s="211"/>
      <c r="B245" s="8"/>
      <c r="C245" s="8"/>
      <c r="D245" s="8"/>
      <c r="E245" s="8"/>
      <c r="F245" s="8"/>
      <c r="G245" s="8"/>
      <c r="H245" s="8"/>
      <c r="I245" s="8"/>
      <c r="J245" s="7"/>
      <c r="K245" s="7"/>
      <c r="L245" s="7"/>
      <c r="M245" s="8"/>
      <c r="N245" s="201"/>
      <c r="O245" s="197"/>
      <c r="P245" s="197"/>
      <c r="Q245" s="112"/>
      <c r="R245" s="112"/>
      <c r="S245" s="216" t="str">
        <f>UPPER(IF(O244="","",IF(ISTEXT(N245),N245,IF(AND(N236&gt;0,O244&gt;0),VLOOKUP(N236&amp;O244&amp;N237,I:K,3,FALSE),""))))</f>
        <v>S0030</v>
      </c>
      <c r="T245" s="216"/>
      <c r="U245" s="202" t="str">
        <f>IF(S245&lt;&gt;"",CONCATENATE(VLOOKUP(S245,'[1]zawodnicy'!$A:$E,2,FALSE)," ",VLOOKUP(S245,'[1]zawodnicy'!$A:$E,3,FALSE)," - ",VLOOKUP(S245,'[1]zawodnicy'!$A:$E,4,FALSE)),"")</f>
        <v>Karol SZYMURA - Szczucin</v>
      </c>
      <c r="V245" s="212"/>
      <c r="AB245" s="84"/>
      <c r="AC245" s="112"/>
      <c r="AD245" s="112"/>
      <c r="AE245" s="112"/>
    </row>
    <row r="246" ht="11.25" customHeight="1"/>
    <row r="247" ht="11.25" customHeight="1"/>
    <row r="248" ht="11.25" customHeight="1">
      <c r="U248" s="49" t="s">
        <v>43</v>
      </c>
    </row>
    <row r="249" ht="11.25" customHeight="1"/>
    <row r="250" spans="1:31" s="2" customFormat="1" ht="11.25" customHeight="1">
      <c r="A250" s="1"/>
      <c r="M250" s="125"/>
      <c r="N250" s="126" t="str">
        <f>M253</f>
        <v>Gra podwójna</v>
      </c>
      <c r="O250" s="110"/>
      <c r="P250" s="110"/>
      <c r="Q250" s="1"/>
      <c r="R250" s="1"/>
      <c r="S250" s="222" t="s">
        <v>44</v>
      </c>
      <c r="T250" s="222"/>
      <c r="U250" s="222"/>
      <c r="V250" s="222"/>
      <c r="W250" s="222" t="s">
        <v>45</v>
      </c>
      <c r="X250" s="222"/>
      <c r="Y250" s="222"/>
      <c r="Z250" s="112"/>
      <c r="AA250" s="112"/>
      <c r="AB250" s="112"/>
      <c r="AC250" s="112"/>
      <c r="AD250" s="112"/>
      <c r="AE250" s="112"/>
    </row>
    <row r="251" spans="1:23" s="2" customFormat="1" ht="11.25" customHeight="1">
      <c r="A251" s="1"/>
      <c r="N251" s="126" t="s">
        <v>46</v>
      </c>
      <c r="O251" s="7"/>
      <c r="P251" s="110"/>
      <c r="Q251" s="1"/>
      <c r="R251" s="1"/>
      <c r="S251" s="1"/>
      <c r="T251" s="1"/>
      <c r="U251" s="112"/>
      <c r="V251" s="112"/>
      <c r="W251" s="112"/>
    </row>
    <row r="252" spans="1:25" s="2" customFormat="1" ht="11.25" customHeight="1">
      <c r="A252" s="1"/>
      <c r="M252" s="125"/>
      <c r="N252" s="195">
        <v>73</v>
      </c>
      <c r="O252" s="213"/>
      <c r="P252" s="197"/>
      <c r="Q252" s="111"/>
      <c r="R252" s="111"/>
      <c r="S252" s="217" t="str">
        <f>IF(N252="","",IF(LEN(VLOOKUP(N252,A:M,6,FALSE))=0,"",IF(VLOOKUP(N252,A:M,6,FALSE)=VLOOKUP(N252,A:M,2,FALSE),VLOOKUP(N252,A:M,4,FALSE),VLOOKUP(N252,A:M,2,FALSE))))</f>
        <v>S0028</v>
      </c>
      <c r="T252" s="217"/>
      <c r="U252" s="198" t="str">
        <f>IF(S252&lt;&gt;"",CONCATENATE(VLOOKUP(S252,'[1]zawodnicy'!$A:$E,2,FALSE)," ",VLOOKUP(S252,'[1]zawodnicy'!$A:$E,3,FALSE)," - ",VLOOKUP(S252,'[1]zawodnicy'!$A:$E,4,FALSE)),"")</f>
        <v>Tobiasz SAŁAGAJ - Mielec</v>
      </c>
      <c r="V252" s="199"/>
      <c r="W252" s="218" t="str">
        <f>IF(F253="","",VLOOKUP(F253,'[1]zawodnicy'!$A:$D,3,FALSE))</f>
        <v>SAŁAGAJ</v>
      </c>
      <c r="X252" s="218"/>
      <c r="Y252" s="218"/>
    </row>
    <row r="253" spans="1:25" s="2" customFormat="1" ht="11.25" customHeight="1">
      <c r="A253" s="113">
        <f>V253</f>
        <v>75</v>
      </c>
      <c r="B253" s="2" t="str">
        <f>IF(TYPE(S252)=16,"",S252)</f>
        <v>S0028</v>
      </c>
      <c r="C253" s="2" t="str">
        <f>IF(TYPE(S253)=16,"",S253)</f>
        <v>S0029</v>
      </c>
      <c r="D253" s="2" t="str">
        <f>IF(TYPE(S254)=16,"",S254)</f>
        <v>G0011</v>
      </c>
      <c r="E253" s="2" t="str">
        <f>IF(TYPE(S255)=16,"",S255)</f>
        <v>S0035</v>
      </c>
      <c r="F253" s="2" t="str">
        <f>IF(A253=0,IF(AND(LEN(B253)&gt;1,LEN(D253)=0),VLOOKUP(B253,'[1]zawodnicy'!$A:$E,1,FALSE),IF(AND(LEN(D253)&gt;1,LEN(B253)=0),VLOOKUP(D253,'[1]zawodnicy'!$A:$E,1,FALSE),"")),IF((VLOOKUP(A253,'[1]plan_gier'!$X:$AF,7,FALSE))="","",VLOOKUP(VLOOKUP(A253,'[1]plan_gier'!$X:$AF,7,FALSE),'[1]zawodnicy'!$A:$E,1,FALSE)))</f>
        <v>S0028</v>
      </c>
      <c r="G253" s="2" t="str">
        <f>IF(A253=0,IF(AND(LEN(C253)&gt;1,LEN(E253)=0),VLOOKUP(C253,'[1]zawodnicy'!$A:$E,1,FALSE),IF(AND(LEN(E253)&gt;1,LEN(C253)=0),VLOOKUP(E253,'[1]zawodnicy'!$A:$E,1,FALSE),"")),IF((VLOOKUP(A253,'[1]plan_gier'!$X:$AF,8,FALSE))="","",VLOOKUP(VLOOKUP(A253,'[1]plan_gier'!$X:$AF,8,FALSE),'[1]zawodnicy'!$A:$E,1,FALSE)))</f>
        <v>S0029</v>
      </c>
      <c r="H253" s="2" t="str">
        <f>IF(A253=0,"",IF((VLOOKUP(A253,'[1]plan_gier'!$X:$AF,7,FALSE))="","",VLOOKUP(A253,'[1]plan_gier'!$X:$AF,9,FALSE)))</f>
        <v>21:19,17:21,28:26</v>
      </c>
      <c r="J253" s="7"/>
      <c r="K253" s="7"/>
      <c r="L253" s="127" t="str">
        <f>IF(A253=0,"",IF(VLOOKUP(A253,'[1]plan_gier'!A:S,19,FALSE)="","",VLOOKUP(A253,'[1]plan_gier'!A:S,19,FALSE)))</f>
        <v>godz.15:00</v>
      </c>
      <c r="M253" s="2" t="str">
        <f>IF(N252="","",VLOOKUP(N252,A:M,13,FALSE))</f>
        <v>Gra podwójna</v>
      </c>
      <c r="N253" s="214"/>
      <c r="O253" s="197"/>
      <c r="P253" s="197"/>
      <c r="Q253" s="112"/>
      <c r="R253" s="112"/>
      <c r="S253" s="216" t="str">
        <f>IF(N252="","",IF(LEN(VLOOKUP(N252,A:M,7,FALSE))=0,"",IF(VLOOKUP(N252,A:M,7,FALSE)=VLOOKUP(N252,A:M,3,FALSE),VLOOKUP(N252,A:M,5,FALSE),VLOOKUP(N252,A:M,3,FALSE))))</f>
        <v>S0029</v>
      </c>
      <c r="T253" s="216"/>
      <c r="U253" s="202" t="str">
        <f>IF(S253&lt;&gt;"",CONCATENATE(VLOOKUP(S253,'[1]zawodnicy'!$A:$E,2,FALSE)," ",VLOOKUP(S253,'[1]zawodnicy'!$A:$E,3,FALSE)," - ",VLOOKUP(S253,'[1]zawodnicy'!$A:$E,4,FALSE)),"")</f>
        <v>Patryk STOLARZ - Mielec</v>
      </c>
      <c r="V253" s="203">
        <v>75</v>
      </c>
      <c r="W253" s="219" t="str">
        <f>IF(G253="","",VLOOKUP(G253,'[1]zawodnicy'!$A:$D,3,FALSE))</f>
        <v>STOLARZ</v>
      </c>
      <c r="X253" s="219"/>
      <c r="Y253" s="219"/>
    </row>
    <row r="254" spans="1:28" s="2" customFormat="1" ht="11.25" customHeight="1">
      <c r="A254" s="1"/>
      <c r="M254" s="125"/>
      <c r="N254" s="201">
        <v>74</v>
      </c>
      <c r="O254" s="213"/>
      <c r="P254" s="197"/>
      <c r="Q254" s="111"/>
      <c r="R254" s="111"/>
      <c r="S254" s="217" t="str">
        <f>IF(N254="","",IF(LEN(VLOOKUP(N254,A:M,6,FALSE))=0,"",IF(VLOOKUP(N254,A:M,6,FALSE)=VLOOKUP(N254,A:M,2,FALSE),VLOOKUP(N254,A:M,4,FALSE),VLOOKUP(N254,A:M,2,FALSE))))</f>
        <v>G0011</v>
      </c>
      <c r="T254" s="217"/>
      <c r="U254" s="198" t="str">
        <f>IF(S254&lt;&gt;"",CONCATENATE(VLOOKUP(S254,'[1]zawodnicy'!$A:$E,2,FALSE)," ",VLOOKUP(S254,'[1]zawodnicy'!$A:$E,3,FALSE)," - ",VLOOKUP(S254,'[1]zawodnicy'!$A:$E,4,FALSE)),"")</f>
        <v>Jakub GERCZAK - Sanok</v>
      </c>
      <c r="V254" s="204"/>
      <c r="W254" s="220" t="str">
        <f>IF(H253="",L253,H253)</f>
        <v>21:19,17:21,28:26</v>
      </c>
      <c r="X254" s="220"/>
      <c r="Y254" s="220"/>
      <c r="Z254" s="112"/>
      <c r="AA254" s="112"/>
      <c r="AB254" s="112"/>
    </row>
    <row r="255" spans="1:28" s="2" customFormat="1" ht="11.25" customHeight="1">
      <c r="A255" s="211"/>
      <c r="B255" s="8"/>
      <c r="C255" s="8"/>
      <c r="D255" s="8"/>
      <c r="E255" s="8"/>
      <c r="F255" s="8"/>
      <c r="G255" s="8"/>
      <c r="H255" s="8"/>
      <c r="I255" s="8"/>
      <c r="J255" s="7"/>
      <c r="K255" s="7"/>
      <c r="L255" s="7"/>
      <c r="M255" s="8"/>
      <c r="N255" s="215"/>
      <c r="O255" s="197"/>
      <c r="P255" s="197"/>
      <c r="Q255" s="112"/>
      <c r="R255" s="112"/>
      <c r="S255" s="216" t="str">
        <f>IF(N254="","",IF(LEN(VLOOKUP(N254,A:M,7,FALSE))=0,"",IF(VLOOKUP(N254,A:M,7,FALSE)=VLOOKUP(N254,A:M,3,FALSE),VLOOKUP(N254,A:M,5,FALSE),VLOOKUP(N254,A:M,3,FALSE))))</f>
        <v>S0035</v>
      </c>
      <c r="T255" s="216"/>
      <c r="U255" s="202" t="str">
        <f>IF(S255&lt;&gt;"",CONCATENATE(VLOOKUP(S255,'[1]zawodnicy'!$A:$E,2,FALSE)," ",VLOOKUP(S255,'[1]zawodnicy'!$A:$E,3,FALSE)," - ",VLOOKUP(S255,'[1]zawodnicy'!$A:$E,4,FALSE)),"")</f>
        <v>Kuba SITEK - Rzeszów</v>
      </c>
      <c r="V255" s="212"/>
      <c r="W255" s="200"/>
      <c r="Y255" s="84"/>
      <c r="Z255" s="112"/>
      <c r="AA255" s="112"/>
      <c r="AB255" s="112"/>
    </row>
  </sheetData>
  <sheetProtection/>
  <mergeCells count="736">
    <mergeCell ref="Q1:AE1"/>
    <mergeCell ref="Q2:AE2"/>
    <mergeCell ref="Q4:AE4"/>
    <mergeCell ref="Q6:S6"/>
    <mergeCell ref="U6:V6"/>
    <mergeCell ref="AH6:AM6"/>
    <mergeCell ref="AN6:AS6"/>
    <mergeCell ref="Q7:R9"/>
    <mergeCell ref="S7:S9"/>
    <mergeCell ref="T7:T9"/>
    <mergeCell ref="U7:V7"/>
    <mergeCell ref="AA7:AA9"/>
    <mergeCell ref="AB7:AB9"/>
    <mergeCell ref="AC7:AC9"/>
    <mergeCell ref="AD7:AD9"/>
    <mergeCell ref="U8:V8"/>
    <mergeCell ref="U9:V9"/>
    <mergeCell ref="AH9:AI9"/>
    <mergeCell ref="AJ9:AK9"/>
    <mergeCell ref="AL9:AM9"/>
    <mergeCell ref="AN9:AO9"/>
    <mergeCell ref="AP9:AQ9"/>
    <mergeCell ref="AR9:AS9"/>
    <mergeCell ref="AV9:AW9"/>
    <mergeCell ref="AX9:AY9"/>
    <mergeCell ref="AZ9:BA9"/>
    <mergeCell ref="BB9:BC9"/>
    <mergeCell ref="BD9:BE9"/>
    <mergeCell ref="BF9:BG9"/>
    <mergeCell ref="BH9:BI9"/>
    <mergeCell ref="T10:T12"/>
    <mergeCell ref="U10:V10"/>
    <mergeCell ref="AA10:AA12"/>
    <mergeCell ref="AB10:AB12"/>
    <mergeCell ref="AC10:AC12"/>
    <mergeCell ref="AD10:AD12"/>
    <mergeCell ref="AV10:AW10"/>
    <mergeCell ref="U11:V11"/>
    <mergeCell ref="U12:V12"/>
    <mergeCell ref="T13:T15"/>
    <mergeCell ref="U13:V13"/>
    <mergeCell ref="AA13:AA15"/>
    <mergeCell ref="AB13:AB15"/>
    <mergeCell ref="AC13:AC15"/>
    <mergeCell ref="AD13:AD15"/>
    <mergeCell ref="U14:V14"/>
    <mergeCell ref="U15:V15"/>
    <mergeCell ref="T16:T18"/>
    <mergeCell ref="U16:V16"/>
    <mergeCell ref="AA16:AA18"/>
    <mergeCell ref="AB16:AB18"/>
    <mergeCell ref="AC16:AC18"/>
    <mergeCell ref="AD16:AD18"/>
    <mergeCell ref="U17:V17"/>
    <mergeCell ref="U18:V18"/>
    <mergeCell ref="Q20:S20"/>
    <mergeCell ref="U20:V20"/>
    <mergeCell ref="Q21:R23"/>
    <mergeCell ref="S21:S23"/>
    <mergeCell ref="T21:T23"/>
    <mergeCell ref="U21:V21"/>
    <mergeCell ref="U22:V22"/>
    <mergeCell ref="U23:V23"/>
    <mergeCell ref="Z21:Z23"/>
    <mergeCell ref="AA21:AA23"/>
    <mergeCell ref="AB21:AB23"/>
    <mergeCell ref="AC21:AC23"/>
    <mergeCell ref="AH21:AM21"/>
    <mergeCell ref="AN21:AS21"/>
    <mergeCell ref="AH23:AI23"/>
    <mergeCell ref="AJ23:AK23"/>
    <mergeCell ref="AL23:AM23"/>
    <mergeCell ref="AN23:AO23"/>
    <mergeCell ref="AP23:AQ23"/>
    <mergeCell ref="AR23:AS23"/>
    <mergeCell ref="AV23:AW23"/>
    <mergeCell ref="AX23:AY23"/>
    <mergeCell ref="AZ23:BA23"/>
    <mergeCell ref="BD23:BE23"/>
    <mergeCell ref="BF23:BG23"/>
    <mergeCell ref="BH23:BI23"/>
    <mergeCell ref="T24:T26"/>
    <mergeCell ref="U24:V24"/>
    <mergeCell ref="Z24:Z26"/>
    <mergeCell ref="AA24:AA26"/>
    <mergeCell ref="AB24:AB26"/>
    <mergeCell ref="AC24:AC26"/>
    <mergeCell ref="U25:V25"/>
    <mergeCell ref="U26:V26"/>
    <mergeCell ref="T27:T29"/>
    <mergeCell ref="U27:V27"/>
    <mergeCell ref="Z27:Z29"/>
    <mergeCell ref="AA27:AA29"/>
    <mergeCell ref="AB27:AB29"/>
    <mergeCell ref="AC27:AC29"/>
    <mergeCell ref="U28:V28"/>
    <mergeCell ref="U29:V29"/>
    <mergeCell ref="Q31:S31"/>
    <mergeCell ref="U31:V31"/>
    <mergeCell ref="Q32:R34"/>
    <mergeCell ref="S32:S34"/>
    <mergeCell ref="T32:T34"/>
    <mergeCell ref="U32:V32"/>
    <mergeCell ref="U33:V33"/>
    <mergeCell ref="U34:V34"/>
    <mergeCell ref="Z32:Z34"/>
    <mergeCell ref="AA32:AA34"/>
    <mergeCell ref="AB32:AB34"/>
    <mergeCell ref="AC32:AC34"/>
    <mergeCell ref="AH32:AM32"/>
    <mergeCell ref="AN32:AS32"/>
    <mergeCell ref="AH34:AI34"/>
    <mergeCell ref="AJ34:AK34"/>
    <mergeCell ref="AL34:AM34"/>
    <mergeCell ref="AN34:AO34"/>
    <mergeCell ref="AP34:AQ34"/>
    <mergeCell ref="AR34:AS34"/>
    <mergeCell ref="AV34:AW34"/>
    <mergeCell ref="AX34:AY34"/>
    <mergeCell ref="AZ34:BA34"/>
    <mergeCell ref="BD34:BE34"/>
    <mergeCell ref="BF34:BG34"/>
    <mergeCell ref="BH34:BI34"/>
    <mergeCell ref="T35:T37"/>
    <mergeCell ref="U35:V35"/>
    <mergeCell ref="Z35:Z37"/>
    <mergeCell ref="AA35:AA37"/>
    <mergeCell ref="AB35:AB37"/>
    <mergeCell ref="AC35:AC37"/>
    <mergeCell ref="U36:V36"/>
    <mergeCell ref="U37:V37"/>
    <mergeCell ref="T38:T40"/>
    <mergeCell ref="U38:V38"/>
    <mergeCell ref="Z38:Z40"/>
    <mergeCell ref="AA38:AA40"/>
    <mergeCell ref="AB38:AB40"/>
    <mergeCell ref="AC38:AC40"/>
    <mergeCell ref="U39:V39"/>
    <mergeCell ref="U40:V40"/>
    <mergeCell ref="Q42:S42"/>
    <mergeCell ref="U42:V42"/>
    <mergeCell ref="AH42:AM42"/>
    <mergeCell ref="AN42:AS42"/>
    <mergeCell ref="Q43:R45"/>
    <mergeCell ref="S43:S45"/>
    <mergeCell ref="T43:T45"/>
    <mergeCell ref="U43:V43"/>
    <mergeCell ref="AA43:AA45"/>
    <mergeCell ref="AB43:AB45"/>
    <mergeCell ref="AC43:AC45"/>
    <mergeCell ref="AD43:AD45"/>
    <mergeCell ref="U44:V44"/>
    <mergeCell ref="U45:V45"/>
    <mergeCell ref="AH45:AI45"/>
    <mergeCell ref="AJ45:AK45"/>
    <mergeCell ref="AL45:AM45"/>
    <mergeCell ref="AN45:AO45"/>
    <mergeCell ref="AP45:AQ45"/>
    <mergeCell ref="AR45:AS45"/>
    <mergeCell ref="AV45:AW45"/>
    <mergeCell ref="AX45:AY45"/>
    <mergeCell ref="AZ45:BA45"/>
    <mergeCell ref="BB45:BC45"/>
    <mergeCell ref="BD45:BE45"/>
    <mergeCell ref="BF45:BG45"/>
    <mergeCell ref="BH45:BI45"/>
    <mergeCell ref="T46:T48"/>
    <mergeCell ref="U46:V46"/>
    <mergeCell ref="AA46:AA48"/>
    <mergeCell ref="AB46:AB48"/>
    <mergeCell ref="AC46:AC48"/>
    <mergeCell ref="AD46:AD48"/>
    <mergeCell ref="AV46:AW46"/>
    <mergeCell ref="U47:V47"/>
    <mergeCell ref="U48:V48"/>
    <mergeCell ref="T49:T51"/>
    <mergeCell ref="U49:V49"/>
    <mergeCell ref="AA49:AA51"/>
    <mergeCell ref="AB49:AB51"/>
    <mergeCell ref="AC49:AC51"/>
    <mergeCell ref="AD49:AD51"/>
    <mergeCell ref="U50:V50"/>
    <mergeCell ref="U51:V51"/>
    <mergeCell ref="T52:T54"/>
    <mergeCell ref="U52:V52"/>
    <mergeCell ref="AA52:AA54"/>
    <mergeCell ref="AB52:AB54"/>
    <mergeCell ref="AC52:AC54"/>
    <mergeCell ref="AD52:AD54"/>
    <mergeCell ref="U53:V53"/>
    <mergeCell ref="U54:V54"/>
    <mergeCell ref="S59:T59"/>
    <mergeCell ref="W59:Y59"/>
    <mergeCell ref="S60:T60"/>
    <mergeCell ref="W60:Y60"/>
    <mergeCell ref="Z61:AB61"/>
    <mergeCell ref="Z62:AB62"/>
    <mergeCell ref="S63:T63"/>
    <mergeCell ref="W63:Y63"/>
    <mergeCell ref="S64:T64"/>
    <mergeCell ref="W64:Y64"/>
    <mergeCell ref="AC65:AE65"/>
    <mergeCell ref="AC66:AE66"/>
    <mergeCell ref="S67:T67"/>
    <mergeCell ref="W67:Y67"/>
    <mergeCell ref="S68:T68"/>
    <mergeCell ref="W68:Y68"/>
    <mergeCell ref="Z69:AB69"/>
    <mergeCell ref="Z70:AB70"/>
    <mergeCell ref="S71:T71"/>
    <mergeCell ref="W71:Y71"/>
    <mergeCell ref="S72:T72"/>
    <mergeCell ref="W72:Y72"/>
    <mergeCell ref="S75:V75"/>
    <mergeCell ref="W75:Y75"/>
    <mergeCell ref="Z75:AB75"/>
    <mergeCell ref="S77:T77"/>
    <mergeCell ref="W77:Y77"/>
    <mergeCell ref="S78:T78"/>
    <mergeCell ref="W78:Y78"/>
    <mergeCell ref="Q81:AE81"/>
    <mergeCell ref="Q83:S83"/>
    <mergeCell ref="U83:V83"/>
    <mergeCell ref="Q84:R86"/>
    <mergeCell ref="S84:S86"/>
    <mergeCell ref="T84:T86"/>
    <mergeCell ref="U84:V84"/>
    <mergeCell ref="Z84:Z86"/>
    <mergeCell ref="AA84:AA86"/>
    <mergeCell ref="AB84:AB86"/>
    <mergeCell ref="AC84:AC86"/>
    <mergeCell ref="AH84:AM84"/>
    <mergeCell ref="AN84:AS84"/>
    <mergeCell ref="U85:V85"/>
    <mergeCell ref="U86:V86"/>
    <mergeCell ref="AH86:AI86"/>
    <mergeCell ref="AJ86:AK86"/>
    <mergeCell ref="AL86:AM86"/>
    <mergeCell ref="AN86:AO86"/>
    <mergeCell ref="AP86:AQ86"/>
    <mergeCell ref="AR86:AS86"/>
    <mergeCell ref="AV86:AW86"/>
    <mergeCell ref="AX86:AY86"/>
    <mergeCell ref="AZ86:BA86"/>
    <mergeCell ref="BD86:BE86"/>
    <mergeCell ref="BF86:BG86"/>
    <mergeCell ref="BH86:BI86"/>
    <mergeCell ref="T87:T89"/>
    <mergeCell ref="U87:V87"/>
    <mergeCell ref="Z87:Z89"/>
    <mergeCell ref="AA87:AA89"/>
    <mergeCell ref="AB87:AB89"/>
    <mergeCell ref="AC87:AC89"/>
    <mergeCell ref="U88:V88"/>
    <mergeCell ref="U89:V89"/>
    <mergeCell ref="T90:T92"/>
    <mergeCell ref="U90:V90"/>
    <mergeCell ref="Z90:Z92"/>
    <mergeCell ref="AA90:AA92"/>
    <mergeCell ref="AB90:AB92"/>
    <mergeCell ref="AC90:AC92"/>
    <mergeCell ref="U91:V91"/>
    <mergeCell ref="U92:V92"/>
    <mergeCell ref="Q94:S94"/>
    <mergeCell ref="U94:V94"/>
    <mergeCell ref="Q95:R97"/>
    <mergeCell ref="S95:S97"/>
    <mergeCell ref="T95:T97"/>
    <mergeCell ref="U95:V95"/>
    <mergeCell ref="Z95:Z97"/>
    <mergeCell ref="AA95:AA97"/>
    <mergeCell ref="AB95:AB97"/>
    <mergeCell ref="AC95:AC97"/>
    <mergeCell ref="AH95:AM95"/>
    <mergeCell ref="AN95:AS95"/>
    <mergeCell ref="U96:V96"/>
    <mergeCell ref="U97:V97"/>
    <mergeCell ref="AH97:AI97"/>
    <mergeCell ref="AJ97:AK97"/>
    <mergeCell ref="AL97:AM97"/>
    <mergeCell ref="AN97:AO97"/>
    <mergeCell ref="AP97:AQ97"/>
    <mergeCell ref="AR97:AS97"/>
    <mergeCell ref="AV97:AW97"/>
    <mergeCell ref="AX97:AY97"/>
    <mergeCell ref="AZ97:BA97"/>
    <mergeCell ref="BD97:BE97"/>
    <mergeCell ref="BF97:BG97"/>
    <mergeCell ref="BH97:BI97"/>
    <mergeCell ref="T98:T100"/>
    <mergeCell ref="U98:V98"/>
    <mergeCell ref="Z98:Z100"/>
    <mergeCell ref="AA98:AA100"/>
    <mergeCell ref="AB98:AB100"/>
    <mergeCell ref="AC98:AC100"/>
    <mergeCell ref="U99:V99"/>
    <mergeCell ref="U100:V100"/>
    <mergeCell ref="T101:T103"/>
    <mergeCell ref="U101:V101"/>
    <mergeCell ref="Z101:Z103"/>
    <mergeCell ref="AA101:AA103"/>
    <mergeCell ref="AB101:AB103"/>
    <mergeCell ref="AC101:AC103"/>
    <mergeCell ref="U102:V102"/>
    <mergeCell ref="U103:V103"/>
    <mergeCell ref="Q105:S105"/>
    <mergeCell ref="U105:V105"/>
    <mergeCell ref="Q106:R108"/>
    <mergeCell ref="S106:S108"/>
    <mergeCell ref="T106:T108"/>
    <mergeCell ref="U106:V106"/>
    <mergeCell ref="Z106:Z108"/>
    <mergeCell ref="AA106:AA108"/>
    <mergeCell ref="AB106:AB108"/>
    <mergeCell ref="AC106:AC108"/>
    <mergeCell ref="AH106:AM106"/>
    <mergeCell ref="AN106:AS106"/>
    <mergeCell ref="U107:V107"/>
    <mergeCell ref="U108:V108"/>
    <mergeCell ref="AH108:AI108"/>
    <mergeCell ref="AJ108:AK108"/>
    <mergeCell ref="AL108:AM108"/>
    <mergeCell ref="AN108:AO108"/>
    <mergeCell ref="AP108:AQ108"/>
    <mergeCell ref="AR108:AS108"/>
    <mergeCell ref="AV108:AW108"/>
    <mergeCell ref="AX108:AY108"/>
    <mergeCell ref="AZ108:BA108"/>
    <mergeCell ref="BD108:BE108"/>
    <mergeCell ref="BF108:BG108"/>
    <mergeCell ref="BH108:BI108"/>
    <mergeCell ref="T109:T111"/>
    <mergeCell ref="U109:V109"/>
    <mergeCell ref="Z109:Z111"/>
    <mergeCell ref="AA109:AA111"/>
    <mergeCell ref="AB109:AB111"/>
    <mergeCell ref="AC109:AC111"/>
    <mergeCell ref="U110:V110"/>
    <mergeCell ref="U111:V111"/>
    <mergeCell ref="T112:T114"/>
    <mergeCell ref="U112:V112"/>
    <mergeCell ref="Z112:Z114"/>
    <mergeCell ref="AA112:AA114"/>
    <mergeCell ref="AB112:AB114"/>
    <mergeCell ref="AC112:AC114"/>
    <mergeCell ref="U113:V113"/>
    <mergeCell ref="U114:V114"/>
    <mergeCell ref="Q118:R119"/>
    <mergeCell ref="S118:T119"/>
    <mergeCell ref="U118:V119"/>
    <mergeCell ref="W118:Y118"/>
    <mergeCell ref="W119:Y119"/>
    <mergeCell ref="Z120:AB120"/>
    <mergeCell ref="Z121:AB121"/>
    <mergeCell ref="S122:T122"/>
    <mergeCell ref="W122:Y122"/>
    <mergeCell ref="S123:T123"/>
    <mergeCell ref="W123:Y123"/>
    <mergeCell ref="AC124:AE124"/>
    <mergeCell ref="AC125:AE125"/>
    <mergeCell ref="S126:T126"/>
    <mergeCell ref="W126:Y126"/>
    <mergeCell ref="S127:T127"/>
    <mergeCell ref="W127:Y127"/>
    <mergeCell ref="Z128:AB128"/>
    <mergeCell ref="Z129:AB129"/>
    <mergeCell ref="Q130:R131"/>
    <mergeCell ref="S130:T131"/>
    <mergeCell ref="U130:V131"/>
    <mergeCell ref="W130:Y130"/>
    <mergeCell ref="W131:Y131"/>
    <mergeCell ref="S134:V134"/>
    <mergeCell ref="W134:Y134"/>
    <mergeCell ref="Z134:AB134"/>
    <mergeCell ref="S136:T136"/>
    <mergeCell ref="W136:Y136"/>
    <mergeCell ref="S137:T137"/>
    <mergeCell ref="W137:Y137"/>
    <mergeCell ref="Q139:AE139"/>
    <mergeCell ref="Q141:R143"/>
    <mergeCell ref="S141:S143"/>
    <mergeCell ref="U141:V141"/>
    <mergeCell ref="T142:T144"/>
    <mergeCell ref="U142:V142"/>
    <mergeCell ref="W142:W144"/>
    <mergeCell ref="AB142:AB144"/>
    <mergeCell ref="AC142:AC144"/>
    <mergeCell ref="AD142:AD144"/>
    <mergeCell ref="AE142:AE144"/>
    <mergeCell ref="U143:V143"/>
    <mergeCell ref="U144:V144"/>
    <mergeCell ref="AH144:AI144"/>
    <mergeCell ref="AJ144:AK144"/>
    <mergeCell ref="AL144:AM144"/>
    <mergeCell ref="AO144:AP144"/>
    <mergeCell ref="AQ144:AR144"/>
    <mergeCell ref="AS144:AT144"/>
    <mergeCell ref="AV144:AW144"/>
    <mergeCell ref="AX144:AY144"/>
    <mergeCell ref="AZ144:BA144"/>
    <mergeCell ref="BB144:BC144"/>
    <mergeCell ref="BD144:BE144"/>
    <mergeCell ref="BF144:BG144"/>
    <mergeCell ref="BH144:BI144"/>
    <mergeCell ref="BJ144:BK144"/>
    <mergeCell ref="T145:T147"/>
    <mergeCell ref="U145:V145"/>
    <mergeCell ref="X145:X147"/>
    <mergeCell ref="AB145:AB147"/>
    <mergeCell ref="AC145:AC147"/>
    <mergeCell ref="AD145:AD147"/>
    <mergeCell ref="AE145:AE147"/>
    <mergeCell ref="AV145:AW145"/>
    <mergeCell ref="U146:V146"/>
    <mergeCell ref="U147:V147"/>
    <mergeCell ref="T148:T150"/>
    <mergeCell ref="U148:V148"/>
    <mergeCell ref="Y148:Y150"/>
    <mergeCell ref="AB148:AB150"/>
    <mergeCell ref="AC148:AC150"/>
    <mergeCell ref="AD148:AD150"/>
    <mergeCell ref="AE148:AE150"/>
    <mergeCell ref="U149:V149"/>
    <mergeCell ref="U150:V150"/>
    <mergeCell ref="T151:T153"/>
    <mergeCell ref="U151:V151"/>
    <mergeCell ref="Z151:Z153"/>
    <mergeCell ref="AB151:AB153"/>
    <mergeCell ref="AC151:AC153"/>
    <mergeCell ref="AD151:AD153"/>
    <mergeCell ref="AE151:AE153"/>
    <mergeCell ref="U152:V152"/>
    <mergeCell ref="U153:V153"/>
    <mergeCell ref="T154:T156"/>
    <mergeCell ref="U154:V154"/>
    <mergeCell ref="AA154:AA156"/>
    <mergeCell ref="AB154:AB156"/>
    <mergeCell ref="AC154:AC156"/>
    <mergeCell ref="AD154:AD156"/>
    <mergeCell ref="AE154:AE156"/>
    <mergeCell ref="U155:V155"/>
    <mergeCell ref="U156:V156"/>
    <mergeCell ref="Q158:AE158"/>
    <mergeCell ref="Q160:S160"/>
    <mergeCell ref="U160:V160"/>
    <mergeCell ref="Q161:R163"/>
    <mergeCell ref="S161:S163"/>
    <mergeCell ref="T161:T163"/>
    <mergeCell ref="U161:V161"/>
    <mergeCell ref="Z161:Z163"/>
    <mergeCell ref="AA161:AA163"/>
    <mergeCell ref="AB161:AB163"/>
    <mergeCell ref="AC161:AC163"/>
    <mergeCell ref="AH161:AM161"/>
    <mergeCell ref="AN161:AS161"/>
    <mergeCell ref="U162:V162"/>
    <mergeCell ref="U163:V163"/>
    <mergeCell ref="AH163:AI163"/>
    <mergeCell ref="AJ163:AK163"/>
    <mergeCell ref="AL163:AM163"/>
    <mergeCell ref="AN163:AO163"/>
    <mergeCell ref="AP163:AQ163"/>
    <mergeCell ref="AR163:AS163"/>
    <mergeCell ref="AV163:AW163"/>
    <mergeCell ref="AX163:AY163"/>
    <mergeCell ref="AZ163:BA163"/>
    <mergeCell ref="BD163:BE163"/>
    <mergeCell ref="BF163:BG163"/>
    <mergeCell ref="BH163:BI163"/>
    <mergeCell ref="T164:T166"/>
    <mergeCell ref="U164:V164"/>
    <mergeCell ref="Z164:Z166"/>
    <mergeCell ref="AA164:AA166"/>
    <mergeCell ref="AB164:AB166"/>
    <mergeCell ref="AC164:AC166"/>
    <mergeCell ref="U165:V165"/>
    <mergeCell ref="U166:V166"/>
    <mergeCell ref="T167:T169"/>
    <mergeCell ref="U167:V167"/>
    <mergeCell ref="Z167:Z169"/>
    <mergeCell ref="AA167:AA169"/>
    <mergeCell ref="AB167:AB169"/>
    <mergeCell ref="AC167:AC169"/>
    <mergeCell ref="U168:V168"/>
    <mergeCell ref="U169:V169"/>
    <mergeCell ref="Q171:AE171"/>
    <mergeCell ref="Q173:S173"/>
    <mergeCell ref="U173:V173"/>
    <mergeCell ref="AH173:AM173"/>
    <mergeCell ref="AN173:AS173"/>
    <mergeCell ref="Q174:R176"/>
    <mergeCell ref="S174:S176"/>
    <mergeCell ref="T174:T176"/>
    <mergeCell ref="U174:V174"/>
    <mergeCell ref="AA174:AA176"/>
    <mergeCell ref="AB174:AB176"/>
    <mergeCell ref="AC174:AC176"/>
    <mergeCell ref="AD174:AD176"/>
    <mergeCell ref="U175:V175"/>
    <mergeCell ref="U176:V176"/>
    <mergeCell ref="AH176:AI176"/>
    <mergeCell ref="AJ176:AK176"/>
    <mergeCell ref="AL176:AM176"/>
    <mergeCell ref="AN176:AO176"/>
    <mergeCell ref="AP176:AQ176"/>
    <mergeCell ref="AR176:AS176"/>
    <mergeCell ref="AV176:AW176"/>
    <mergeCell ref="AX176:AY176"/>
    <mergeCell ref="AZ176:BA176"/>
    <mergeCell ref="BB176:BC176"/>
    <mergeCell ref="BD176:BE176"/>
    <mergeCell ref="BF176:BG176"/>
    <mergeCell ref="BH176:BI176"/>
    <mergeCell ref="T177:T179"/>
    <mergeCell ref="U177:V177"/>
    <mergeCell ref="AA177:AA179"/>
    <mergeCell ref="AB177:AB179"/>
    <mergeCell ref="AC177:AC179"/>
    <mergeCell ref="AD177:AD179"/>
    <mergeCell ref="AV177:AW177"/>
    <mergeCell ref="U178:V178"/>
    <mergeCell ref="U179:V179"/>
    <mergeCell ref="T180:T182"/>
    <mergeCell ref="U180:V180"/>
    <mergeCell ref="AA180:AA182"/>
    <mergeCell ref="AB180:AB182"/>
    <mergeCell ref="AC180:AC182"/>
    <mergeCell ref="AD180:AD182"/>
    <mergeCell ref="U181:V181"/>
    <mergeCell ref="U182:V182"/>
    <mergeCell ref="T183:T185"/>
    <mergeCell ref="U183:V183"/>
    <mergeCell ref="AA183:AA185"/>
    <mergeCell ref="AB183:AB185"/>
    <mergeCell ref="AC183:AC185"/>
    <mergeCell ref="AD183:AD185"/>
    <mergeCell ref="U184:V184"/>
    <mergeCell ref="U185:V185"/>
    <mergeCell ref="Q187:AE187"/>
    <mergeCell ref="Q189:S189"/>
    <mergeCell ref="U189:V189"/>
    <mergeCell ref="Q190:R192"/>
    <mergeCell ref="S190:S192"/>
    <mergeCell ref="T190:T192"/>
    <mergeCell ref="U190:V190"/>
    <mergeCell ref="Z190:Z192"/>
    <mergeCell ref="AA190:AA192"/>
    <mergeCell ref="AB190:AB192"/>
    <mergeCell ref="AC190:AC192"/>
    <mergeCell ref="AH190:AM190"/>
    <mergeCell ref="AN190:AS190"/>
    <mergeCell ref="U191:V191"/>
    <mergeCell ref="U192:V192"/>
    <mergeCell ref="AH192:AI192"/>
    <mergeCell ref="AJ192:AK192"/>
    <mergeCell ref="AL192:AM192"/>
    <mergeCell ref="AN192:AO192"/>
    <mergeCell ref="AP192:AQ192"/>
    <mergeCell ref="AR192:AS192"/>
    <mergeCell ref="AV192:AW192"/>
    <mergeCell ref="AX192:AY192"/>
    <mergeCell ref="AZ192:BA192"/>
    <mergeCell ref="BD192:BE192"/>
    <mergeCell ref="BF192:BG192"/>
    <mergeCell ref="BH192:BI192"/>
    <mergeCell ref="T193:T195"/>
    <mergeCell ref="U193:V193"/>
    <mergeCell ref="Z193:Z195"/>
    <mergeCell ref="AA193:AA195"/>
    <mergeCell ref="AB193:AB195"/>
    <mergeCell ref="AC193:AC195"/>
    <mergeCell ref="U194:V194"/>
    <mergeCell ref="U195:V195"/>
    <mergeCell ref="T196:T198"/>
    <mergeCell ref="U196:V196"/>
    <mergeCell ref="Z196:Z198"/>
    <mergeCell ref="AA196:AA198"/>
    <mergeCell ref="AB196:AB198"/>
    <mergeCell ref="AC196:AC198"/>
    <mergeCell ref="U197:V197"/>
    <mergeCell ref="U198:V198"/>
    <mergeCell ref="Q200:S200"/>
    <mergeCell ref="U200:V200"/>
    <mergeCell ref="Q201:R203"/>
    <mergeCell ref="S201:S203"/>
    <mergeCell ref="T201:T203"/>
    <mergeCell ref="U201:V201"/>
    <mergeCell ref="Z201:Z203"/>
    <mergeCell ref="AA201:AA203"/>
    <mergeCell ref="AB201:AB203"/>
    <mergeCell ref="AC201:AC203"/>
    <mergeCell ref="AH201:AM201"/>
    <mergeCell ref="AN201:AS201"/>
    <mergeCell ref="U202:V202"/>
    <mergeCell ref="U203:V203"/>
    <mergeCell ref="AH203:AI203"/>
    <mergeCell ref="AJ203:AK203"/>
    <mergeCell ref="AL203:AM203"/>
    <mergeCell ref="AN203:AO203"/>
    <mergeCell ref="AP203:AQ203"/>
    <mergeCell ref="AR203:AS203"/>
    <mergeCell ref="AV203:AW203"/>
    <mergeCell ref="AX203:AY203"/>
    <mergeCell ref="AZ203:BA203"/>
    <mergeCell ref="BD203:BE203"/>
    <mergeCell ref="BF203:BG203"/>
    <mergeCell ref="BH203:BI203"/>
    <mergeCell ref="T204:T206"/>
    <mergeCell ref="U204:V204"/>
    <mergeCell ref="Z204:Z206"/>
    <mergeCell ref="AA204:AA206"/>
    <mergeCell ref="AB204:AB206"/>
    <mergeCell ref="AC204:AC206"/>
    <mergeCell ref="U205:V205"/>
    <mergeCell ref="U206:V206"/>
    <mergeCell ref="T207:T209"/>
    <mergeCell ref="U207:V207"/>
    <mergeCell ref="Z207:Z209"/>
    <mergeCell ref="AA207:AA209"/>
    <mergeCell ref="AB207:AB209"/>
    <mergeCell ref="AC207:AC209"/>
    <mergeCell ref="U208:V208"/>
    <mergeCell ref="U209:V209"/>
    <mergeCell ref="Q211:S211"/>
    <mergeCell ref="U211:V211"/>
    <mergeCell ref="Q212:R214"/>
    <mergeCell ref="S212:S214"/>
    <mergeCell ref="T212:T214"/>
    <mergeCell ref="U212:V212"/>
    <mergeCell ref="Z212:Z214"/>
    <mergeCell ref="AA212:AA214"/>
    <mergeCell ref="AB212:AB214"/>
    <mergeCell ref="AC212:AC214"/>
    <mergeCell ref="AH212:AM212"/>
    <mergeCell ref="AN212:AS212"/>
    <mergeCell ref="U213:V213"/>
    <mergeCell ref="U214:V214"/>
    <mergeCell ref="AH214:AI214"/>
    <mergeCell ref="AJ214:AK214"/>
    <mergeCell ref="AL214:AM214"/>
    <mergeCell ref="AN214:AO214"/>
    <mergeCell ref="AP214:AQ214"/>
    <mergeCell ref="AR214:AS214"/>
    <mergeCell ref="AV214:AW214"/>
    <mergeCell ref="AX214:AY214"/>
    <mergeCell ref="AZ214:BA214"/>
    <mergeCell ref="BD214:BE214"/>
    <mergeCell ref="BF214:BG214"/>
    <mergeCell ref="BH214:BI214"/>
    <mergeCell ref="T215:T217"/>
    <mergeCell ref="U215:V215"/>
    <mergeCell ref="Z215:Z217"/>
    <mergeCell ref="AA215:AA217"/>
    <mergeCell ref="AB215:AB217"/>
    <mergeCell ref="AC215:AC217"/>
    <mergeCell ref="U216:V216"/>
    <mergeCell ref="U217:V217"/>
    <mergeCell ref="T218:T220"/>
    <mergeCell ref="U218:V218"/>
    <mergeCell ref="Z218:Z220"/>
    <mergeCell ref="AA218:AA220"/>
    <mergeCell ref="AB218:AB220"/>
    <mergeCell ref="AC218:AC220"/>
    <mergeCell ref="U219:V219"/>
    <mergeCell ref="U220:V220"/>
    <mergeCell ref="Q222:S222"/>
    <mergeCell ref="U222:V222"/>
    <mergeCell ref="Q223:R225"/>
    <mergeCell ref="S223:S225"/>
    <mergeCell ref="T223:T225"/>
    <mergeCell ref="U223:V223"/>
    <mergeCell ref="Z223:Z225"/>
    <mergeCell ref="AA223:AA225"/>
    <mergeCell ref="AB223:AB225"/>
    <mergeCell ref="AC223:AC225"/>
    <mergeCell ref="AH223:AM223"/>
    <mergeCell ref="AN223:AS223"/>
    <mergeCell ref="U224:V224"/>
    <mergeCell ref="U225:V225"/>
    <mergeCell ref="AH225:AI225"/>
    <mergeCell ref="AJ225:AK225"/>
    <mergeCell ref="AL225:AM225"/>
    <mergeCell ref="AN225:AO225"/>
    <mergeCell ref="AP225:AQ225"/>
    <mergeCell ref="AR225:AS225"/>
    <mergeCell ref="AV225:AW225"/>
    <mergeCell ref="AX225:AY225"/>
    <mergeCell ref="AZ225:BA225"/>
    <mergeCell ref="BD225:BE225"/>
    <mergeCell ref="BF225:BG225"/>
    <mergeCell ref="BH225:BI225"/>
    <mergeCell ref="T226:T228"/>
    <mergeCell ref="U226:V226"/>
    <mergeCell ref="Z226:Z228"/>
    <mergeCell ref="AA226:AA228"/>
    <mergeCell ref="AB226:AB228"/>
    <mergeCell ref="AC226:AC228"/>
    <mergeCell ref="U227:V227"/>
    <mergeCell ref="U228:V228"/>
    <mergeCell ref="T229:T231"/>
    <mergeCell ref="U229:V229"/>
    <mergeCell ref="Z229:Z231"/>
    <mergeCell ref="AA229:AA231"/>
    <mergeCell ref="AB229:AB231"/>
    <mergeCell ref="AC229:AC231"/>
    <mergeCell ref="U230:V230"/>
    <mergeCell ref="U231:V231"/>
    <mergeCell ref="S236:V236"/>
    <mergeCell ref="W236:Y236"/>
    <mergeCell ref="Z236:AB236"/>
    <mergeCell ref="S238:T238"/>
    <mergeCell ref="W238:Y238"/>
    <mergeCell ref="S239:T239"/>
    <mergeCell ref="W239:Y239"/>
    <mergeCell ref="S240:T240"/>
    <mergeCell ref="W240:Y240"/>
    <mergeCell ref="Z240:AB240"/>
    <mergeCell ref="S241:T241"/>
    <mergeCell ref="Z241:AB241"/>
    <mergeCell ref="S242:T242"/>
    <mergeCell ref="W242:Y242"/>
    <mergeCell ref="Z242:AB242"/>
    <mergeCell ref="S243:T243"/>
    <mergeCell ref="W243:Y243"/>
    <mergeCell ref="S244:T244"/>
    <mergeCell ref="W244:Y244"/>
    <mergeCell ref="S245:T245"/>
    <mergeCell ref="S250:V250"/>
    <mergeCell ref="W250:Y250"/>
    <mergeCell ref="S255:T255"/>
    <mergeCell ref="S252:T252"/>
    <mergeCell ref="W252:Y252"/>
    <mergeCell ref="S253:T253"/>
    <mergeCell ref="W253:Y253"/>
    <mergeCell ref="S254:T254"/>
    <mergeCell ref="W254:Y254"/>
  </mergeCells>
  <printOptions/>
  <pageMargins left="0.7000000000000001" right="0.7000000000000001" top="0.75" bottom="0.75" header="0.30000000000000004" footer="0.30000000000000004"/>
  <pageSetup orientation="portrait" paperSize="9" scale="56" r:id="rId3"/>
  <rowBreaks count="1" manualBreakCount="1">
    <brk id="11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ORBITEK</cp:lastModifiedBy>
  <dcterms:created xsi:type="dcterms:W3CDTF">2013-03-19T14:13:38Z</dcterms:created>
  <dcterms:modified xsi:type="dcterms:W3CDTF">2013-03-21T08:54:16Z</dcterms:modified>
  <cp:category/>
  <cp:version/>
  <cp:contentType/>
  <cp:contentStatus/>
</cp:coreProperties>
</file>