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565" activeTab="0"/>
  </bookViews>
  <sheets>
    <sheet name="Singiel" sheetId="1" r:id="rId1"/>
    <sheet name="Gry podwójne" sheetId="2" r:id="rId2"/>
    <sheet name="Arkusz3" sheetId="3" state="hidden" r:id="rId3"/>
  </sheets>
  <externalReferences>
    <externalReference r:id="rId6"/>
  </externalReferences>
  <definedNames>
    <definedName name="Gry">'[1]dane'!$I$3:$I$7</definedName>
    <definedName name="Podw">'[1]dane'!#REF!</definedName>
    <definedName name="Poj">'[1]dane'!$I$3:$I$7</definedName>
  </definedNames>
  <calcPr fullCalcOnLoad="1"/>
</workbook>
</file>

<file path=xl/comments1.xml><?xml version="1.0" encoding="utf-8"?>
<comments xmlns="http://schemas.openxmlformats.org/spreadsheetml/2006/main">
  <authors>
    <author>Marek Łysakowski</author>
  </authors>
  <commentList>
    <comment ref="O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39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4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4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50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5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5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5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63" authorId="0">
      <text>
        <r>
          <rPr>
            <b/>
            <sz val="9"/>
            <rFont val="Tahoma"/>
            <family val="2"/>
          </rPr>
          <t>W celu wypełnienia drabinki po zakończeniu gier w grupach wybierz rodzaj gry</t>
        </r>
      </text>
    </comment>
    <comment ref="Y6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7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7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7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7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8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8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8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9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98" authorId="0">
      <text>
        <r>
          <rPr>
            <b/>
            <sz val="9"/>
            <rFont val="Tahoma"/>
            <family val="2"/>
          </rPr>
          <t>Wpisz nr meczu półfinałowego z górnej połówki drabinki</t>
        </r>
        <r>
          <rPr>
            <sz val="9"/>
            <rFont val="Tahoma"/>
            <family val="2"/>
          </rPr>
          <t xml:space="preserve">
</t>
        </r>
      </text>
    </comment>
    <comment ref="V9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99" authorId="0">
      <text>
        <r>
          <rPr>
            <b/>
            <sz val="9"/>
            <rFont val="Tahoma"/>
            <family val="2"/>
          </rPr>
          <t>Wpisz nr meczu półfinałowego z dolnej połówki drabinki</t>
        </r>
      </text>
    </comment>
    <comment ref="O104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0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15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1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28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V13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34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V13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39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V14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6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6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7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80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8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95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V19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01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V20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Łysakowski</author>
  </authors>
  <commentList>
    <comment ref="L6" authorId="0">
      <text>
        <r>
          <rPr>
            <b/>
            <sz val="9"/>
            <rFont val="Tahoma"/>
            <family val="2"/>
          </rPr>
          <t>Dla systemu grupowo-pucharowego wpisz miejsce w grupie.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10"/>
            <rFont val="Times New Roman CE"/>
            <family val="1"/>
          </rPr>
          <t>Dla systemu pucharowego wpisz ilość par.
Dla systemu grupowo-pucharowego wpisz ilość grup.</t>
        </r>
      </text>
    </comment>
    <comment ref="P10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12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R16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20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S24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28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30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R32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34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36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L46" authorId="0">
      <text>
        <r>
          <rPr>
            <b/>
            <sz val="9"/>
            <rFont val="Tahoma"/>
            <family val="2"/>
          </rPr>
          <t>Wpisz nr meczu półfinałowego z gónej połówki drabinki</t>
        </r>
        <r>
          <rPr>
            <sz val="9"/>
            <rFont val="Tahoma"/>
            <family val="2"/>
          </rPr>
          <t xml:space="preserve">
</t>
        </r>
      </text>
    </comment>
    <comment ref="P47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L48" authorId="0">
      <text>
        <r>
          <rPr>
            <b/>
            <sz val="9"/>
            <rFont val="Tahoma"/>
            <family val="2"/>
          </rPr>
          <t>Wpisz nr meczu półfinałowego z dolnej połówki drabinki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<sst xmlns="http://schemas.openxmlformats.org/spreadsheetml/2006/main" count="381" uniqueCount="80">
  <si>
    <t>Runners Up</t>
  </si>
  <si>
    <t>Lp</t>
  </si>
  <si>
    <t>Zawodnik</t>
  </si>
  <si>
    <t>Punkty</t>
  </si>
  <si>
    <t>Sety</t>
  </si>
  <si>
    <t>Mecze</t>
  </si>
  <si>
    <t>Miejsce</t>
  </si>
  <si>
    <t>Kolejność
gier</t>
  </si>
  <si>
    <t>Nr
gry</t>
  </si>
  <si>
    <t>Z planu gier</t>
  </si>
  <si>
    <t>Do obliczeń</t>
  </si>
  <si>
    <t>N0002</t>
  </si>
  <si>
    <t>1 set</t>
  </si>
  <si>
    <t>2 set</t>
  </si>
  <si>
    <t>3 set</t>
  </si>
  <si>
    <t>1-3</t>
  </si>
  <si>
    <t>B0009</t>
  </si>
  <si>
    <t>2-3</t>
  </si>
  <si>
    <t>1-2</t>
  </si>
  <si>
    <t>K0012</t>
  </si>
  <si>
    <t>W0013</t>
  </si>
  <si>
    <t>R0015</t>
  </si>
  <si>
    <t>K0014</t>
  </si>
  <si>
    <t>S0032</t>
  </si>
  <si>
    <t>M0026</t>
  </si>
  <si>
    <t>S0034</t>
  </si>
  <si>
    <t>S0029</t>
  </si>
  <si>
    <t>G0013</t>
  </si>
  <si>
    <t>P0021</t>
  </si>
  <si>
    <t>M0008</t>
  </si>
  <si>
    <t>K0038</t>
  </si>
  <si>
    <t>L0004</t>
  </si>
  <si>
    <t>1. z gr. 1</t>
  </si>
  <si>
    <t>1. z gr. 3</t>
  </si>
  <si>
    <t>1. z gr. 2</t>
  </si>
  <si>
    <t>2. z gr. 5</t>
  </si>
  <si>
    <t>2. z gr. 4</t>
  </si>
  <si>
    <t>2. z gr. 3</t>
  </si>
  <si>
    <t>2. z gr. 2</t>
  </si>
  <si>
    <t>1. z gr. 4</t>
  </si>
  <si>
    <t>2. z gr. 1</t>
  </si>
  <si>
    <t>1. z gr. 5</t>
  </si>
  <si>
    <t>4.</t>
  </si>
  <si>
    <t>3.</t>
  </si>
  <si>
    <t>o 3 miejsce</t>
  </si>
  <si>
    <t>Kobiet</t>
  </si>
  <si>
    <t>N0005</t>
  </si>
  <si>
    <t>M0027</t>
  </si>
  <si>
    <t>R0016</t>
  </si>
  <si>
    <t>R0013</t>
  </si>
  <si>
    <t>G0016</t>
  </si>
  <si>
    <t>D0008</t>
  </si>
  <si>
    <t>mecz o I miejsce</t>
  </si>
  <si>
    <t>mecz o III miejsce</t>
  </si>
  <si>
    <t>mecz o V miejsce</t>
  </si>
  <si>
    <t>Old Boys</t>
  </si>
  <si>
    <t>2-5</t>
  </si>
  <si>
    <t>K0003</t>
  </si>
  <si>
    <t>3-4</t>
  </si>
  <si>
    <t>4-5</t>
  </si>
  <si>
    <t>4-2</t>
  </si>
  <si>
    <t>5-1</t>
  </si>
  <si>
    <t>4-1</t>
  </si>
  <si>
    <t>M0028</t>
  </si>
  <si>
    <t>5-3</t>
  </si>
  <si>
    <t>K0040</t>
  </si>
  <si>
    <t>Open</t>
  </si>
  <si>
    <t>P0003</t>
  </si>
  <si>
    <t>M0019</t>
  </si>
  <si>
    <t>2-4</t>
  </si>
  <si>
    <t>1-4</t>
  </si>
  <si>
    <t>J0005</t>
  </si>
  <si>
    <t>I0002</t>
  </si>
  <si>
    <t>B0001</t>
  </si>
  <si>
    <t>G0011</t>
  </si>
  <si>
    <t>J0001</t>
  </si>
  <si>
    <t xml:space="preserve">  </t>
  </si>
  <si>
    <t>Gra</t>
  </si>
  <si>
    <t>Gra podwójna</t>
  </si>
  <si>
    <t>R0007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</si>
</sst>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000"/>
    <numFmt numFmtId="166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color indexed="10"/>
      <name val="Times New Roman CE"/>
      <family val="1"/>
    </font>
    <font>
      <sz val="10"/>
      <name val="Times New Roman CE"/>
      <family val="0"/>
    </font>
    <font>
      <sz val="10"/>
      <color indexed="10"/>
      <name val="Times New Roman CE"/>
      <family val="1"/>
    </font>
    <font>
      <sz val="8"/>
      <name val="Tahoma"/>
      <family val="2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34" borderId="18" xfId="0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35" borderId="30" xfId="0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35" borderId="31" xfId="0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37" borderId="32" xfId="0" applyFill="1" applyBorder="1" applyAlignment="1" applyProtection="1">
      <alignment vertical="center"/>
      <protection/>
    </xf>
    <xf numFmtId="0" fontId="0" fillId="37" borderId="33" xfId="0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35" borderId="36" xfId="0" applyFill="1" applyBorder="1" applyAlignment="1" applyProtection="1">
      <alignment vertical="center"/>
      <protection/>
    </xf>
    <xf numFmtId="0" fontId="0" fillId="35" borderId="37" xfId="0" applyFill="1" applyBorder="1" applyAlignment="1" applyProtection="1">
      <alignment vertical="center"/>
      <protection/>
    </xf>
    <xf numFmtId="0" fontId="0" fillId="37" borderId="38" xfId="0" applyFill="1" applyBorder="1" applyAlignment="1" applyProtection="1">
      <alignment vertical="center"/>
      <protection/>
    </xf>
    <xf numFmtId="0" fontId="0" fillId="37" borderId="39" xfId="0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 quotePrefix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35" borderId="42" xfId="0" applyFill="1" applyBorder="1" applyAlignment="1" applyProtection="1">
      <alignment vertical="center"/>
      <protection/>
    </xf>
    <xf numFmtId="0" fontId="0" fillId="35" borderId="43" xfId="0" applyFill="1" applyBorder="1" applyAlignment="1" applyProtection="1">
      <alignment vertical="center"/>
      <protection/>
    </xf>
    <xf numFmtId="0" fontId="0" fillId="37" borderId="44" xfId="0" applyFill="1" applyBorder="1" applyAlignment="1" applyProtection="1">
      <alignment vertical="center"/>
      <protection/>
    </xf>
    <xf numFmtId="0" fontId="0" fillId="37" borderId="45" xfId="0" applyFill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35" borderId="28" xfId="0" applyFont="1" applyFill="1" applyBorder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2" fillId="35" borderId="21" xfId="0" applyFont="1" applyFill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3" borderId="37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39" borderId="0" xfId="0" applyFont="1" applyFill="1" applyAlignment="1">
      <alignment vertical="center"/>
    </xf>
    <xf numFmtId="0" fontId="2" fillId="0" borderId="54" xfId="0" applyFont="1" applyBorder="1" applyAlignment="1">
      <alignment horizontal="left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Alignment="1">
      <alignment horizontal="right"/>
    </xf>
    <xf numFmtId="0" fontId="2" fillId="4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22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22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36" borderId="0" xfId="0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34" borderId="37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0" fillId="34" borderId="0" xfId="0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6" borderId="34" xfId="0" applyFill="1" applyBorder="1" applyAlignment="1">
      <alignment horizontal="right" vertical="center"/>
    </xf>
    <xf numFmtId="0" fontId="0" fillId="36" borderId="53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55" xfId="0" applyFont="1" applyBorder="1" applyAlignment="1" applyProtection="1">
      <alignment horizontal="centerContinuous" vertical="center"/>
      <protection/>
    </xf>
    <xf numFmtId="0" fontId="2" fillId="0" borderId="56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 quotePrefix="1">
      <alignment horizontal="right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0" fillId="35" borderId="31" xfId="0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5" borderId="36" xfId="0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0" fillId="37" borderId="38" xfId="0" applyFill="1" applyBorder="1" applyAlignment="1" applyProtection="1">
      <alignment horizontal="center"/>
      <protection/>
    </xf>
    <xf numFmtId="0" fontId="0" fillId="37" borderId="39" xfId="0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7" borderId="44" xfId="0" applyFill="1" applyBorder="1" applyAlignment="1" applyProtection="1">
      <alignment horizontal="center"/>
      <protection/>
    </xf>
    <xf numFmtId="0" fontId="0" fillId="37" borderId="60" xfId="0" applyFill="1" applyBorder="1" applyAlignment="1" applyProtection="1">
      <alignment horizontal="center"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37" borderId="44" xfId="0" applyFill="1" applyBorder="1" applyAlignment="1" applyProtection="1">
      <alignment horizontal="center" vertical="center"/>
      <protection/>
    </xf>
    <xf numFmtId="0" fontId="0" fillId="37" borderId="45" xfId="0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62" xfId="0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0" fontId="0" fillId="0" borderId="46" xfId="0" applyBorder="1" applyAlignment="1" applyProtection="1">
      <alignment/>
      <protection/>
    </xf>
    <xf numFmtId="0" fontId="0" fillId="35" borderId="42" xfId="0" applyFill="1" applyBorder="1" applyAlignment="1" applyProtection="1">
      <alignment/>
      <protection/>
    </xf>
    <xf numFmtId="0" fontId="0" fillId="35" borderId="43" xfId="0" applyFill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 locked="0"/>
    </xf>
    <xf numFmtId="0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59" xfId="0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0" fillId="37" borderId="38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37" borderId="60" xfId="0" applyFill="1" applyBorder="1" applyAlignment="1" applyProtection="1">
      <alignment horizontal="center" vertical="center"/>
      <protection/>
    </xf>
    <xf numFmtId="0" fontId="2" fillId="35" borderId="63" xfId="0" applyFont="1" applyFill="1" applyBorder="1" applyAlignment="1" applyProtection="1">
      <alignment vertical="center"/>
      <protection/>
    </xf>
    <xf numFmtId="0" fontId="2" fillId="35" borderId="64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52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34" borderId="66" xfId="0" applyFill="1" applyBorder="1" applyAlignment="1">
      <alignment horizontal="right"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0" fillId="34" borderId="23" xfId="0" applyFill="1" applyBorder="1" applyAlignment="1">
      <alignment horizontal="right" vertical="center"/>
    </xf>
    <xf numFmtId="0" fontId="2" fillId="0" borderId="5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1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3" xfId="0" applyFont="1" applyBorder="1" applyAlignment="1">
      <alignment vertical="center"/>
    </xf>
    <xf numFmtId="0" fontId="0" fillId="36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54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2" fillId="0" borderId="5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5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5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35" borderId="51" xfId="0" applyNumberFormat="1" applyFont="1" applyFill="1" applyBorder="1" applyAlignment="1" applyProtection="1">
      <alignment horizontal="center" vertical="center" wrapText="1"/>
      <protection/>
    </xf>
    <xf numFmtId="0" fontId="2" fillId="35" borderId="53" xfId="0" applyNumberFormat="1" applyFont="1" applyFill="1" applyBorder="1" applyAlignment="1" applyProtection="1">
      <alignment horizontal="center" vertical="center" wrapText="1"/>
      <protection/>
    </xf>
    <xf numFmtId="0" fontId="2" fillId="35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0" fillId="37" borderId="32" xfId="0" applyFill="1" applyBorder="1" applyAlignment="1" applyProtection="1">
      <alignment horizontal="center"/>
      <protection/>
    </xf>
    <xf numFmtId="0" fontId="0" fillId="37" borderId="33" xfId="0" applyFill="1" applyBorder="1" applyAlignment="1" applyProtection="1">
      <alignment horizontal="center"/>
      <protection/>
    </xf>
    <xf numFmtId="0" fontId="2" fillId="35" borderId="28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35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7" borderId="32" xfId="0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9%20GP%20Vict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gry"/>
      <sheetName val="plan gier"/>
      <sheetName val="grup-puch"/>
      <sheetName val="puch"/>
      <sheetName val="tabelki"/>
      <sheetName val="drabinki"/>
      <sheetName val="sędziowie"/>
      <sheetName val="zawodnic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Moduł1"/>
      <sheetName val="Moduł2"/>
    </sheetNames>
    <sheetDataSet>
      <sheetData sheetId="0">
        <row r="2">
          <cell r="D2" t="str">
            <v>69 Grand Prix Victora</v>
          </cell>
        </row>
        <row r="3">
          <cell r="D3" t="str">
            <v>Mielec,  16-12-2012 r.</v>
          </cell>
          <cell r="I3" t="str">
            <v>Runners Up</v>
          </cell>
        </row>
        <row r="4">
          <cell r="I4" t="str">
            <v>Old Boys</v>
          </cell>
        </row>
        <row r="5">
          <cell r="I5" t="str">
            <v>Kobiet</v>
          </cell>
        </row>
        <row r="6">
          <cell r="I6" t="str">
            <v>Open</v>
          </cell>
        </row>
        <row r="7">
          <cell r="I7" t="str">
            <v>Gra podwójna</v>
          </cell>
        </row>
      </sheetData>
      <sheetData sheetId="2">
        <row r="1">
          <cell r="C1" t="str">
            <v>Boisko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 t="str">
            <v>Nr gry</v>
          </cell>
        </row>
        <row r="2">
          <cell r="A2" t="str">
            <v>Nr </v>
          </cell>
          <cell r="D2" t="str">
            <v>Drukowanie prorokółów</v>
          </cell>
          <cell r="N2">
            <v>1</v>
          </cell>
          <cell r="X2" t="str">
            <v>*</v>
          </cell>
        </row>
        <row r="3">
          <cell r="A3" t="str">
            <v>meczu</v>
          </cell>
          <cell r="S3">
            <v>41259</v>
          </cell>
          <cell r="X3" t="str">
            <v>nr gry</v>
          </cell>
          <cell r="Z3" t="str">
            <v>zawodnicy</v>
          </cell>
          <cell r="AD3" t="str">
            <v>awans</v>
          </cell>
          <cell r="AF3" t="str">
            <v>rezultat</v>
          </cell>
          <cell r="AI3" t="str">
            <v>1 set</v>
          </cell>
          <cell r="AK3" t="str">
            <v>2 set</v>
          </cell>
          <cell r="AM3" t="str">
            <v>3 set</v>
          </cell>
        </row>
        <row r="4">
          <cell r="B4">
            <v>1</v>
          </cell>
          <cell r="C4" t="str">
            <v>dzień turnieju.</v>
          </cell>
          <cell r="I4" t="str">
            <v>Nr meczu</v>
          </cell>
          <cell r="N4" t="str">
            <v>Godz.</v>
          </cell>
          <cell r="R4" t="str">
            <v>S. prow.</v>
          </cell>
          <cell r="AF4" t="str">
            <v>wygrany</v>
          </cell>
          <cell r="AG4" t="str">
            <v>przegrany</v>
          </cell>
        </row>
        <row r="5">
          <cell r="B5" t="str">
            <v>Boisko</v>
          </cell>
          <cell r="C5" t="str">
            <v>Gra</v>
          </cell>
          <cell r="I5">
            <v>1</v>
          </cell>
          <cell r="N5" t="str">
            <v>rozp.</v>
          </cell>
          <cell r="P5" t="str">
            <v>zak.</v>
          </cell>
          <cell r="R5" t="str">
            <v>S. serw.</v>
          </cell>
        </row>
        <row r="6">
          <cell r="A6">
            <v>1</v>
          </cell>
          <cell r="C6" t="str">
            <v>Runners Up</v>
          </cell>
          <cell r="H6">
            <v>17</v>
          </cell>
          <cell r="I6">
            <v>21</v>
          </cell>
          <cell r="J6">
            <v>21</v>
          </cell>
          <cell r="K6">
            <v>7</v>
          </cell>
          <cell r="L6">
            <v>21</v>
          </cell>
          <cell r="M6">
            <v>19</v>
          </cell>
          <cell r="R6">
            <v>0</v>
          </cell>
          <cell r="S6" t="str">
            <v>godz.9:00</v>
          </cell>
          <cell r="X6">
            <v>1</v>
          </cell>
          <cell r="Y6" t="str">
            <v>Runners Up</v>
          </cell>
          <cell r="Z6" t="str">
            <v>N0002</v>
          </cell>
          <cell r="AA6" t="str">
            <v/>
          </cell>
          <cell r="AB6" t="str">
            <v>K0012</v>
          </cell>
          <cell r="AC6" t="str">
            <v/>
          </cell>
          <cell r="AD6" t="str">
            <v>N0002</v>
          </cell>
          <cell r="AE6" t="str">
            <v/>
          </cell>
          <cell r="AF6" t="str">
            <v>17:21,21:7,21:19</v>
          </cell>
          <cell r="AG6" t="str">
            <v>21:17,7:21,19:21</v>
          </cell>
          <cell r="AH6" t="str">
            <v/>
          </cell>
          <cell r="AI6">
            <v>17</v>
          </cell>
          <cell r="AJ6">
            <v>21</v>
          </cell>
          <cell r="AK6">
            <v>21</v>
          </cell>
          <cell r="AL6">
            <v>7</v>
          </cell>
          <cell r="AM6">
            <v>21</v>
          </cell>
          <cell r="AN6">
            <v>19</v>
          </cell>
        </row>
        <row r="7">
          <cell r="A7" t="str">
            <v/>
          </cell>
          <cell r="B7" t="str">
            <v>Robert NOWAK (Mielec)</v>
          </cell>
          <cell r="H7" t="str">
            <v>N0002</v>
          </cell>
          <cell r="K7" t="str">
            <v>K0012</v>
          </cell>
          <cell r="N7" t="str">
            <v>Piotr KOTERBA (Rzeszów)</v>
          </cell>
        </row>
        <row r="8">
          <cell r="A8" t="str">
            <v/>
          </cell>
          <cell r="B8" t="str">
            <v/>
          </cell>
          <cell r="H8" t="str">
            <v/>
          </cell>
          <cell r="K8" t="str">
            <v/>
          </cell>
          <cell r="N8" t="str">
            <v/>
          </cell>
        </row>
        <row r="10">
          <cell r="B10" t="str">
            <v>zwycięzca(cy): 17:21,21:7,21:19</v>
          </cell>
          <cell r="K10" t="str">
            <v/>
          </cell>
        </row>
        <row r="11">
          <cell r="B11">
            <v>2</v>
          </cell>
          <cell r="C11" t="str">
            <v>dzień turnieju.</v>
          </cell>
          <cell r="I11" t="str">
            <v>Nr meczu</v>
          </cell>
          <cell r="N11" t="str">
            <v>Godz.</v>
          </cell>
          <cell r="R11" t="str">
            <v>S. prow.</v>
          </cell>
          <cell r="AF11" t="str">
            <v>wygrany</v>
          </cell>
          <cell r="AG11" t="str">
            <v>przegrany</v>
          </cell>
        </row>
        <row r="12">
          <cell r="B12" t="str">
            <v>Boisko</v>
          </cell>
          <cell r="C12" t="str">
            <v>Gra</v>
          </cell>
          <cell r="I12">
            <v>2</v>
          </cell>
          <cell r="N12" t="str">
            <v>rozp.</v>
          </cell>
          <cell r="P12" t="str">
            <v>zak.</v>
          </cell>
          <cell r="R12" t="str">
            <v>S. serw.</v>
          </cell>
        </row>
        <row r="13">
          <cell r="A13">
            <v>2</v>
          </cell>
          <cell r="C13" t="str">
            <v>Runners Up</v>
          </cell>
          <cell r="H13">
            <v>9</v>
          </cell>
          <cell r="I13">
            <v>21</v>
          </cell>
          <cell r="J13">
            <v>6</v>
          </cell>
          <cell r="K13">
            <v>21</v>
          </cell>
          <cell r="R13">
            <v>0</v>
          </cell>
          <cell r="S13" t="str">
            <v>godz.9:00</v>
          </cell>
          <cell r="X13">
            <v>2</v>
          </cell>
          <cell r="Y13" t="str">
            <v>Runners Up</v>
          </cell>
          <cell r="Z13" t="str">
            <v>W0013</v>
          </cell>
          <cell r="AA13" t="str">
            <v/>
          </cell>
          <cell r="AB13" t="str">
            <v>K0014</v>
          </cell>
          <cell r="AC13" t="str">
            <v/>
          </cell>
          <cell r="AD13" t="str">
            <v>K0014</v>
          </cell>
          <cell r="AE13" t="str">
            <v/>
          </cell>
          <cell r="AF13" t="str">
            <v>21:9,21:6</v>
          </cell>
          <cell r="AG13" t="str">
            <v>9:21,6:21</v>
          </cell>
          <cell r="AH13" t="str">
            <v/>
          </cell>
          <cell r="AI13">
            <v>9</v>
          </cell>
          <cell r="AJ13">
            <v>21</v>
          </cell>
          <cell r="AK13">
            <v>6</v>
          </cell>
          <cell r="AL13">
            <v>21</v>
          </cell>
          <cell r="AM13">
            <v>0</v>
          </cell>
          <cell r="AN13">
            <v>0</v>
          </cell>
        </row>
        <row r="14">
          <cell r="A14" t="str">
            <v/>
          </cell>
          <cell r="B14" t="str">
            <v>Olaf WARNECKI (Rzeszów)</v>
          </cell>
          <cell r="H14" t="str">
            <v>W0013</v>
          </cell>
          <cell r="K14" t="str">
            <v>K0014</v>
          </cell>
          <cell r="N14" t="str">
            <v>Zdzisław KULA  (Tarnów)</v>
          </cell>
        </row>
        <row r="15">
          <cell r="A15" t="str">
            <v/>
          </cell>
          <cell r="B15" t="str">
            <v/>
          </cell>
          <cell r="H15" t="str">
            <v/>
          </cell>
          <cell r="K15" t="str">
            <v/>
          </cell>
          <cell r="N15" t="str">
            <v/>
          </cell>
        </row>
        <row r="17">
          <cell r="B17" t="str">
            <v/>
          </cell>
          <cell r="K17" t="str">
            <v>zwycięzca(cy): 21:9,21:6</v>
          </cell>
        </row>
        <row r="18">
          <cell r="B18">
            <v>3</v>
          </cell>
          <cell r="C18" t="str">
            <v>dzień turnieju.</v>
          </cell>
          <cell r="I18" t="str">
            <v>Nr meczu</v>
          </cell>
          <cell r="N18" t="str">
            <v>Godz.</v>
          </cell>
          <cell r="R18" t="str">
            <v>S. prow.</v>
          </cell>
          <cell r="AF18" t="str">
            <v>wygrany</v>
          </cell>
          <cell r="AG18" t="str">
            <v>przegrany</v>
          </cell>
        </row>
        <row r="19">
          <cell r="B19" t="str">
            <v>Boisko</v>
          </cell>
          <cell r="C19" t="str">
            <v>Gra</v>
          </cell>
          <cell r="I19">
            <v>3</v>
          </cell>
          <cell r="N19" t="str">
            <v>rozp.</v>
          </cell>
          <cell r="P19" t="str">
            <v>zak.</v>
          </cell>
          <cell r="R19" t="str">
            <v>S. serw.</v>
          </cell>
        </row>
        <row r="20">
          <cell r="A20">
            <v>3</v>
          </cell>
          <cell r="C20" t="str">
            <v>Runners Up</v>
          </cell>
          <cell r="H20">
            <v>21</v>
          </cell>
          <cell r="I20">
            <v>8</v>
          </cell>
          <cell r="J20">
            <v>21</v>
          </cell>
          <cell r="K20">
            <v>4</v>
          </cell>
          <cell r="R20">
            <v>0</v>
          </cell>
          <cell r="S20" t="str">
            <v>godz.9:00</v>
          </cell>
          <cell r="X20">
            <v>3</v>
          </cell>
          <cell r="Y20" t="str">
            <v>Runners Up</v>
          </cell>
          <cell r="Z20" t="str">
            <v>S0032</v>
          </cell>
          <cell r="AA20" t="str">
            <v/>
          </cell>
          <cell r="AB20" t="str">
            <v>S0034</v>
          </cell>
          <cell r="AC20" t="str">
            <v/>
          </cell>
          <cell r="AD20" t="str">
            <v>S0032</v>
          </cell>
          <cell r="AE20" t="str">
            <v/>
          </cell>
          <cell r="AF20" t="str">
            <v>21:8,21:4</v>
          </cell>
          <cell r="AG20" t="str">
            <v>8:21,4:21</v>
          </cell>
          <cell r="AH20" t="str">
            <v/>
          </cell>
          <cell r="AI20">
            <v>21</v>
          </cell>
          <cell r="AJ20">
            <v>8</v>
          </cell>
          <cell r="AK20">
            <v>21</v>
          </cell>
          <cell r="AL20">
            <v>4</v>
          </cell>
          <cell r="AM20">
            <v>0</v>
          </cell>
          <cell r="AN20">
            <v>0</v>
          </cell>
        </row>
        <row r="21">
          <cell r="A21" t="str">
            <v/>
          </cell>
          <cell r="B21" t="str">
            <v>Łukasz SZANTULA (Mielec)</v>
          </cell>
          <cell r="H21" t="str">
            <v>S0032</v>
          </cell>
          <cell r="K21" t="str">
            <v>S0034</v>
          </cell>
          <cell r="N21" t="str">
            <v>Kuba SITEK (Rzeszów)</v>
          </cell>
        </row>
        <row r="22">
          <cell r="A22" t="str">
            <v/>
          </cell>
          <cell r="B22" t="str">
            <v/>
          </cell>
          <cell r="H22" t="str">
            <v/>
          </cell>
          <cell r="K22" t="str">
            <v/>
          </cell>
          <cell r="N22" t="str">
            <v/>
          </cell>
        </row>
        <row r="24">
          <cell r="B24" t="str">
            <v>zwycięzca(cy): 21:8,21:4</v>
          </cell>
          <cell r="K24" t="str">
            <v/>
          </cell>
        </row>
        <row r="25">
          <cell r="B25">
            <v>4</v>
          </cell>
          <cell r="C25" t="str">
            <v>dzień turnieju.</v>
          </cell>
          <cell r="I25" t="str">
            <v>Nr meczu</v>
          </cell>
          <cell r="N25" t="str">
            <v>Godz.</v>
          </cell>
          <cell r="R25" t="str">
            <v>S. prow.</v>
          </cell>
          <cell r="AF25" t="str">
            <v>wygrany</v>
          </cell>
          <cell r="AG25" t="str">
            <v>przegrany</v>
          </cell>
        </row>
        <row r="26">
          <cell r="B26" t="str">
            <v>Boisko</v>
          </cell>
          <cell r="C26" t="str">
            <v>Gra</v>
          </cell>
          <cell r="I26">
            <v>4</v>
          </cell>
          <cell r="N26" t="str">
            <v>rozp.</v>
          </cell>
          <cell r="P26" t="str">
            <v>zak.</v>
          </cell>
          <cell r="R26" t="str">
            <v>S. serw.</v>
          </cell>
        </row>
        <row r="27">
          <cell r="A27">
            <v>4</v>
          </cell>
          <cell r="C27" t="str">
            <v>Runners Up</v>
          </cell>
          <cell r="H27">
            <v>21</v>
          </cell>
          <cell r="I27">
            <v>9</v>
          </cell>
          <cell r="J27">
            <v>21</v>
          </cell>
          <cell r="K27">
            <v>9</v>
          </cell>
          <cell r="R27">
            <v>0</v>
          </cell>
          <cell r="S27" t="str">
            <v>godz.9:00</v>
          </cell>
          <cell r="X27">
            <v>4</v>
          </cell>
          <cell r="Y27" t="str">
            <v>Runners Up</v>
          </cell>
          <cell r="Z27" t="str">
            <v>S0029</v>
          </cell>
          <cell r="AA27" t="str">
            <v/>
          </cell>
          <cell r="AB27" t="str">
            <v>P0021</v>
          </cell>
          <cell r="AC27" t="str">
            <v/>
          </cell>
          <cell r="AD27" t="str">
            <v>S0029</v>
          </cell>
          <cell r="AE27" t="str">
            <v/>
          </cell>
          <cell r="AF27" t="str">
            <v>21:9,21:9</v>
          </cell>
          <cell r="AG27" t="str">
            <v>9:21,9:21</v>
          </cell>
          <cell r="AH27" t="str">
            <v/>
          </cell>
          <cell r="AI27">
            <v>21</v>
          </cell>
          <cell r="AJ27">
            <v>9</v>
          </cell>
          <cell r="AK27">
            <v>21</v>
          </cell>
          <cell r="AL27">
            <v>9</v>
          </cell>
          <cell r="AM27">
            <v>0</v>
          </cell>
          <cell r="AN27">
            <v>0</v>
          </cell>
        </row>
        <row r="28">
          <cell r="A28" t="str">
            <v/>
          </cell>
          <cell r="B28" t="str">
            <v>Patryk STOLARZ (Mielec)</v>
          </cell>
          <cell r="H28" t="str">
            <v>S0029</v>
          </cell>
          <cell r="K28" t="str">
            <v>P0021</v>
          </cell>
          <cell r="N28" t="str">
            <v>Mikołaj POLAŃSKI (Rzeszów)</v>
          </cell>
        </row>
        <row r="29">
          <cell r="A29" t="str">
            <v/>
          </cell>
          <cell r="B29" t="str">
            <v/>
          </cell>
          <cell r="H29" t="str">
            <v/>
          </cell>
          <cell r="K29" t="str">
            <v/>
          </cell>
          <cell r="N29" t="str">
            <v/>
          </cell>
        </row>
        <row r="31">
          <cell r="B31" t="str">
            <v>zwycięzca(cy): 21:9,21:9</v>
          </cell>
          <cell r="K31" t="str">
            <v/>
          </cell>
        </row>
        <row r="32">
          <cell r="B32">
            <v>5</v>
          </cell>
          <cell r="C32" t="str">
            <v>dzień turnieju.</v>
          </cell>
          <cell r="I32" t="str">
            <v>Nr meczu</v>
          </cell>
          <cell r="N32" t="str">
            <v>Godz.</v>
          </cell>
          <cell r="R32" t="str">
            <v>S. prow.</v>
          </cell>
          <cell r="AF32" t="str">
            <v>wygrany</v>
          </cell>
          <cell r="AG32" t="str">
            <v>przegrany</v>
          </cell>
        </row>
        <row r="33">
          <cell r="B33" t="str">
            <v>Boisko</v>
          </cell>
          <cell r="C33" t="str">
            <v>Gra</v>
          </cell>
          <cell r="I33">
            <v>5</v>
          </cell>
          <cell r="N33" t="str">
            <v>rozp.</v>
          </cell>
          <cell r="P33" t="str">
            <v>zak.</v>
          </cell>
          <cell r="R33" t="str">
            <v>S. serw.</v>
          </cell>
        </row>
        <row r="34">
          <cell r="A34">
            <v>5</v>
          </cell>
          <cell r="C34" t="str">
            <v>Runners Up</v>
          </cell>
          <cell r="H34">
            <v>21</v>
          </cell>
          <cell r="I34">
            <v>17</v>
          </cell>
          <cell r="J34">
            <v>16</v>
          </cell>
          <cell r="K34">
            <v>21</v>
          </cell>
          <cell r="L34">
            <v>21</v>
          </cell>
          <cell r="M34">
            <v>10</v>
          </cell>
          <cell r="R34">
            <v>0</v>
          </cell>
          <cell r="S34" t="str">
            <v>godz.9:20</v>
          </cell>
          <cell r="X34">
            <v>5</v>
          </cell>
          <cell r="Y34" t="str">
            <v>Runners Up</v>
          </cell>
          <cell r="Z34" t="str">
            <v>M0008</v>
          </cell>
          <cell r="AA34" t="str">
            <v/>
          </cell>
          <cell r="AB34" t="str">
            <v>L0004</v>
          </cell>
          <cell r="AC34" t="str">
            <v/>
          </cell>
          <cell r="AD34" t="str">
            <v>M0008</v>
          </cell>
          <cell r="AE34" t="str">
            <v/>
          </cell>
          <cell r="AF34" t="str">
            <v>21:17,16:21,21:10</v>
          </cell>
          <cell r="AG34" t="str">
            <v>17:21,21:16,10:21</v>
          </cell>
          <cell r="AH34" t="str">
            <v/>
          </cell>
          <cell r="AI34">
            <v>21</v>
          </cell>
          <cell r="AJ34">
            <v>17</v>
          </cell>
          <cell r="AK34">
            <v>16</v>
          </cell>
          <cell r="AL34">
            <v>21</v>
          </cell>
          <cell r="AM34">
            <v>21</v>
          </cell>
          <cell r="AN34">
            <v>10</v>
          </cell>
        </row>
        <row r="35">
          <cell r="A35" t="str">
            <v/>
          </cell>
          <cell r="B35" t="str">
            <v>Tadeusz MICHALIK (Tarnów)</v>
          </cell>
          <cell r="H35" t="str">
            <v>M0008</v>
          </cell>
          <cell r="K35" t="str">
            <v>L0004</v>
          </cell>
          <cell r="N35" t="str">
            <v>Rafał LEJKO (Nowa Dęba)</v>
          </cell>
        </row>
        <row r="36">
          <cell r="A36" t="str">
            <v/>
          </cell>
          <cell r="B36" t="str">
            <v/>
          </cell>
          <cell r="H36" t="str">
            <v/>
          </cell>
          <cell r="K36" t="str">
            <v/>
          </cell>
          <cell r="N36" t="str">
            <v/>
          </cell>
        </row>
        <row r="38">
          <cell r="B38" t="str">
            <v>zwycięzca(cy): 21:17,16:21,21:10</v>
          </cell>
          <cell r="K38" t="str">
            <v/>
          </cell>
        </row>
        <row r="39">
          <cell r="B39">
            <v>6</v>
          </cell>
          <cell r="C39" t="str">
            <v>dzień turnieju.</v>
          </cell>
          <cell r="I39" t="str">
            <v>Nr meczu</v>
          </cell>
          <cell r="N39" t="str">
            <v>Godz.</v>
          </cell>
          <cell r="R39" t="str">
            <v>S. prow.</v>
          </cell>
          <cell r="AF39" t="str">
            <v>wygrany</v>
          </cell>
          <cell r="AG39" t="str">
            <v>przegrany</v>
          </cell>
        </row>
        <row r="40">
          <cell r="B40" t="str">
            <v>Boisko</v>
          </cell>
          <cell r="C40" t="str">
            <v>Gra</v>
          </cell>
          <cell r="I40">
            <v>6</v>
          </cell>
          <cell r="N40" t="str">
            <v>rozp.</v>
          </cell>
          <cell r="P40" t="str">
            <v>zak.</v>
          </cell>
          <cell r="R40" t="str">
            <v>S. serw.</v>
          </cell>
        </row>
        <row r="41">
          <cell r="A41">
            <v>6</v>
          </cell>
          <cell r="C41" t="str">
            <v>Runners Up</v>
          </cell>
          <cell r="H41">
            <v>22</v>
          </cell>
          <cell r="I41">
            <v>20</v>
          </cell>
          <cell r="J41">
            <v>21</v>
          </cell>
          <cell r="K41">
            <v>10</v>
          </cell>
          <cell r="R41">
            <v>0</v>
          </cell>
          <cell r="S41" t="str">
            <v>godz.9:20</v>
          </cell>
          <cell r="X41">
            <v>6</v>
          </cell>
          <cell r="Y41" t="str">
            <v>Runners Up</v>
          </cell>
          <cell r="Z41" t="str">
            <v>B0009</v>
          </cell>
          <cell r="AA41" t="str">
            <v/>
          </cell>
          <cell r="AB41" t="str">
            <v>K0012</v>
          </cell>
          <cell r="AC41" t="str">
            <v/>
          </cell>
          <cell r="AD41" t="str">
            <v>B0009</v>
          </cell>
          <cell r="AE41" t="str">
            <v/>
          </cell>
          <cell r="AF41" t="str">
            <v>22:20,21:10</v>
          </cell>
          <cell r="AG41" t="str">
            <v>20:22,10:21</v>
          </cell>
          <cell r="AH41" t="str">
            <v/>
          </cell>
          <cell r="AI41">
            <v>22</v>
          </cell>
          <cell r="AJ41">
            <v>20</v>
          </cell>
          <cell r="AK41">
            <v>21</v>
          </cell>
          <cell r="AL41">
            <v>10</v>
          </cell>
          <cell r="AM41">
            <v>0</v>
          </cell>
          <cell r="AN41">
            <v>0</v>
          </cell>
        </row>
        <row r="42">
          <cell r="A42" t="str">
            <v/>
          </cell>
          <cell r="B42" t="str">
            <v>Adam BUNIO (Nowa Dęba)</v>
          </cell>
          <cell r="H42" t="str">
            <v>B0009</v>
          </cell>
          <cell r="K42" t="str">
            <v>K0012</v>
          </cell>
          <cell r="N42" t="str">
            <v>Piotr KOTERBA (Rzeszów)</v>
          </cell>
        </row>
        <row r="43">
          <cell r="A43" t="str">
            <v/>
          </cell>
          <cell r="B43" t="str">
            <v/>
          </cell>
          <cell r="H43" t="str">
            <v/>
          </cell>
          <cell r="K43" t="str">
            <v/>
          </cell>
          <cell r="N43" t="str">
            <v/>
          </cell>
        </row>
        <row r="45">
          <cell r="B45" t="str">
            <v>zwycięzca(cy): 22:20,21:10</v>
          </cell>
          <cell r="K45" t="str">
            <v/>
          </cell>
        </row>
        <row r="46">
          <cell r="B46">
            <v>7</v>
          </cell>
          <cell r="C46" t="str">
            <v>dzień turnieju.</v>
          </cell>
          <cell r="I46" t="str">
            <v>Nr meczu</v>
          </cell>
          <cell r="N46" t="str">
            <v>Godz.</v>
          </cell>
          <cell r="R46" t="str">
            <v>S. prow.</v>
          </cell>
          <cell r="AF46" t="str">
            <v>wygrany</v>
          </cell>
          <cell r="AG46" t="str">
            <v>przegrany</v>
          </cell>
        </row>
        <row r="47">
          <cell r="B47" t="str">
            <v>Boisko</v>
          </cell>
          <cell r="C47" t="str">
            <v>Gra</v>
          </cell>
          <cell r="I47">
            <v>7</v>
          </cell>
          <cell r="N47" t="str">
            <v>rozp.</v>
          </cell>
          <cell r="P47" t="str">
            <v>zak.</v>
          </cell>
          <cell r="R47" t="str">
            <v>S. serw.</v>
          </cell>
        </row>
        <row r="48">
          <cell r="A48">
            <v>7</v>
          </cell>
          <cell r="C48" t="str">
            <v>Runners Up</v>
          </cell>
          <cell r="H48">
            <v>12</v>
          </cell>
          <cell r="I48">
            <v>21</v>
          </cell>
          <cell r="J48">
            <v>7</v>
          </cell>
          <cell r="K48">
            <v>21</v>
          </cell>
          <cell r="R48">
            <v>0</v>
          </cell>
          <cell r="S48" t="str">
            <v>godz.9:20</v>
          </cell>
          <cell r="X48">
            <v>7</v>
          </cell>
          <cell r="Y48" t="str">
            <v>Runners Up</v>
          </cell>
          <cell r="Z48" t="str">
            <v>R0015</v>
          </cell>
          <cell r="AA48" t="str">
            <v/>
          </cell>
          <cell r="AB48" t="str">
            <v>K0014</v>
          </cell>
          <cell r="AC48" t="str">
            <v/>
          </cell>
          <cell r="AD48" t="str">
            <v>K0014</v>
          </cell>
          <cell r="AE48" t="str">
            <v/>
          </cell>
          <cell r="AF48" t="str">
            <v>21:12,21:7</v>
          </cell>
          <cell r="AG48" t="str">
            <v>12:21,7:21</v>
          </cell>
          <cell r="AH48" t="str">
            <v/>
          </cell>
          <cell r="AI48">
            <v>12</v>
          </cell>
          <cell r="AJ48">
            <v>21</v>
          </cell>
          <cell r="AK48">
            <v>7</v>
          </cell>
          <cell r="AL48">
            <v>21</v>
          </cell>
          <cell r="AM48">
            <v>0</v>
          </cell>
          <cell r="AN48">
            <v>0</v>
          </cell>
        </row>
        <row r="49">
          <cell r="A49" t="str">
            <v/>
          </cell>
          <cell r="B49" t="str">
            <v>Oskar RADZAJ (Mielec)</v>
          </cell>
          <cell r="H49" t="str">
            <v>R0015</v>
          </cell>
          <cell r="K49" t="str">
            <v>K0014</v>
          </cell>
          <cell r="N49" t="str">
            <v>Zdzisław KULA  (Tarnów)</v>
          </cell>
        </row>
        <row r="50">
          <cell r="A50" t="str">
            <v/>
          </cell>
          <cell r="B50" t="str">
            <v/>
          </cell>
          <cell r="H50" t="str">
            <v/>
          </cell>
          <cell r="K50" t="str">
            <v/>
          </cell>
          <cell r="N50" t="str">
            <v/>
          </cell>
        </row>
        <row r="52">
          <cell r="B52" t="str">
            <v/>
          </cell>
          <cell r="K52" t="str">
            <v>zwycięzca(cy): 21:12,21:7</v>
          </cell>
        </row>
        <row r="53">
          <cell r="B53">
            <v>8</v>
          </cell>
          <cell r="C53" t="str">
            <v>dzień turnieju.</v>
          </cell>
          <cell r="I53" t="str">
            <v>Nr meczu</v>
          </cell>
          <cell r="N53" t="str">
            <v>Godz.</v>
          </cell>
          <cell r="R53" t="str">
            <v>S. prow.</v>
          </cell>
          <cell r="AF53" t="str">
            <v>wygrany</v>
          </cell>
          <cell r="AG53" t="str">
            <v>przegrany</v>
          </cell>
        </row>
        <row r="54">
          <cell r="B54" t="str">
            <v>Boisko</v>
          </cell>
          <cell r="C54" t="str">
            <v>Gra</v>
          </cell>
          <cell r="I54">
            <v>8</v>
          </cell>
          <cell r="N54" t="str">
            <v>rozp.</v>
          </cell>
          <cell r="P54" t="str">
            <v>zak.</v>
          </cell>
          <cell r="R54" t="str">
            <v>S. serw.</v>
          </cell>
        </row>
        <row r="55">
          <cell r="A55">
            <v>8</v>
          </cell>
          <cell r="C55" t="str">
            <v>Runners Up</v>
          </cell>
          <cell r="H55">
            <v>21</v>
          </cell>
          <cell r="I55">
            <v>11</v>
          </cell>
          <cell r="J55">
            <v>21</v>
          </cell>
          <cell r="K55">
            <v>1</v>
          </cell>
          <cell r="R55">
            <v>0</v>
          </cell>
          <cell r="S55" t="str">
            <v>godz.9:20</v>
          </cell>
          <cell r="X55">
            <v>8</v>
          </cell>
          <cell r="Y55" t="str">
            <v>Runners Up</v>
          </cell>
          <cell r="Z55" t="str">
            <v>M0026</v>
          </cell>
          <cell r="AA55" t="str">
            <v/>
          </cell>
          <cell r="AB55" t="str">
            <v>S0034</v>
          </cell>
          <cell r="AC55" t="str">
            <v/>
          </cell>
          <cell r="AD55" t="str">
            <v>M0026</v>
          </cell>
          <cell r="AE55" t="str">
            <v/>
          </cell>
          <cell r="AF55" t="str">
            <v>21:11,21:1</v>
          </cell>
          <cell r="AG55" t="str">
            <v>11:21,1:21</v>
          </cell>
          <cell r="AH55" t="str">
            <v/>
          </cell>
          <cell r="AI55">
            <v>21</v>
          </cell>
          <cell r="AJ55">
            <v>11</v>
          </cell>
          <cell r="AK55">
            <v>21</v>
          </cell>
          <cell r="AL55">
            <v>1</v>
          </cell>
          <cell r="AM55">
            <v>0</v>
          </cell>
          <cell r="AN55">
            <v>0</v>
          </cell>
        </row>
        <row r="56">
          <cell r="A56" t="str">
            <v/>
          </cell>
          <cell r="B56" t="str">
            <v>Wojciech MACHAJ (Mielec)</v>
          </cell>
          <cell r="H56" t="str">
            <v>M0026</v>
          </cell>
          <cell r="K56" t="str">
            <v>S0034</v>
          </cell>
          <cell r="N56" t="str">
            <v>Kuba SITEK (Rzeszów)</v>
          </cell>
        </row>
        <row r="57">
          <cell r="A57" t="str">
            <v/>
          </cell>
          <cell r="B57" t="str">
            <v/>
          </cell>
          <cell r="H57" t="str">
            <v/>
          </cell>
          <cell r="K57" t="str">
            <v/>
          </cell>
          <cell r="N57" t="str">
            <v/>
          </cell>
        </row>
        <row r="59">
          <cell r="B59" t="str">
            <v>zwycięzca(cy): 21:11,21:1</v>
          </cell>
          <cell r="K59" t="str">
            <v/>
          </cell>
        </row>
        <row r="60">
          <cell r="B60">
            <v>9</v>
          </cell>
          <cell r="C60" t="str">
            <v>dzień turnieju.</v>
          </cell>
          <cell r="I60" t="str">
            <v>Nr meczu</v>
          </cell>
          <cell r="N60" t="str">
            <v>Godz.</v>
          </cell>
          <cell r="R60" t="str">
            <v>S. prow.</v>
          </cell>
          <cell r="AF60" t="str">
            <v>wygrany</v>
          </cell>
          <cell r="AG60" t="str">
            <v>przegrany</v>
          </cell>
        </row>
        <row r="61">
          <cell r="B61" t="str">
            <v>Boisko</v>
          </cell>
          <cell r="C61" t="str">
            <v>Gra</v>
          </cell>
          <cell r="I61">
            <v>9</v>
          </cell>
          <cell r="N61" t="str">
            <v>rozp.</v>
          </cell>
          <cell r="P61" t="str">
            <v>zak.</v>
          </cell>
          <cell r="R61" t="str">
            <v>S. serw.</v>
          </cell>
        </row>
        <row r="62">
          <cell r="A62">
            <v>9</v>
          </cell>
          <cell r="C62" t="str">
            <v>Runners Up</v>
          </cell>
          <cell r="H62">
            <v>21</v>
          </cell>
          <cell r="I62">
            <v>7</v>
          </cell>
          <cell r="J62">
            <v>21</v>
          </cell>
          <cell r="K62">
            <v>9</v>
          </cell>
          <cell r="R62">
            <v>0</v>
          </cell>
          <cell r="S62" t="str">
            <v>godz.9:40</v>
          </cell>
          <cell r="X62">
            <v>9</v>
          </cell>
          <cell r="Y62" t="str">
            <v>Runners Up</v>
          </cell>
          <cell r="Z62" t="str">
            <v>G0013</v>
          </cell>
          <cell r="AA62" t="str">
            <v/>
          </cell>
          <cell r="AB62" t="str">
            <v>P0021</v>
          </cell>
          <cell r="AC62" t="str">
            <v/>
          </cell>
          <cell r="AD62" t="str">
            <v>G0013</v>
          </cell>
          <cell r="AE62" t="str">
            <v/>
          </cell>
          <cell r="AF62" t="str">
            <v>21:7,21:9</v>
          </cell>
          <cell r="AG62" t="str">
            <v>7:21,9:21</v>
          </cell>
          <cell r="AH62" t="str">
            <v/>
          </cell>
          <cell r="AI62">
            <v>21</v>
          </cell>
          <cell r="AJ62">
            <v>7</v>
          </cell>
          <cell r="AK62">
            <v>21</v>
          </cell>
          <cell r="AL62">
            <v>9</v>
          </cell>
          <cell r="AM62">
            <v>0</v>
          </cell>
          <cell r="AN62">
            <v>0</v>
          </cell>
        </row>
        <row r="63">
          <cell r="A63" t="str">
            <v/>
          </cell>
          <cell r="B63" t="str">
            <v>Bartosz GROCHOCKI (Mielec)</v>
          </cell>
          <cell r="H63" t="str">
            <v>G0013</v>
          </cell>
          <cell r="K63" t="str">
            <v>P0021</v>
          </cell>
          <cell r="N63" t="str">
            <v>Mikołaj POLAŃSKI (Rzeszów)</v>
          </cell>
        </row>
        <row r="64">
          <cell r="A64" t="str">
            <v/>
          </cell>
          <cell r="B64" t="str">
            <v/>
          </cell>
          <cell r="H64" t="str">
            <v/>
          </cell>
          <cell r="K64" t="str">
            <v/>
          </cell>
          <cell r="N64" t="str">
            <v/>
          </cell>
        </row>
        <row r="66">
          <cell r="B66" t="str">
            <v>zwycięzca(cy): 21:7,21:9</v>
          </cell>
          <cell r="K66" t="str">
            <v/>
          </cell>
        </row>
        <row r="67">
          <cell r="B67">
            <v>10</v>
          </cell>
          <cell r="C67" t="str">
            <v>dzień turnieju.</v>
          </cell>
          <cell r="I67" t="str">
            <v>Nr meczu</v>
          </cell>
          <cell r="N67" t="str">
            <v>Godz.</v>
          </cell>
          <cell r="R67" t="str">
            <v>S. prow.</v>
          </cell>
          <cell r="AF67" t="str">
            <v>wygrany</v>
          </cell>
          <cell r="AG67" t="str">
            <v>przegrany</v>
          </cell>
        </row>
        <row r="68">
          <cell r="B68" t="str">
            <v>Boisko</v>
          </cell>
          <cell r="C68" t="str">
            <v>Gra</v>
          </cell>
          <cell r="I68">
            <v>10</v>
          </cell>
          <cell r="N68" t="str">
            <v>rozp.</v>
          </cell>
          <cell r="P68" t="str">
            <v>zak.</v>
          </cell>
          <cell r="R68" t="str">
            <v>S. serw.</v>
          </cell>
        </row>
        <row r="69">
          <cell r="A69">
            <v>10</v>
          </cell>
          <cell r="C69" t="str">
            <v>Runners Up</v>
          </cell>
          <cell r="H69">
            <v>8</v>
          </cell>
          <cell r="I69">
            <v>21</v>
          </cell>
          <cell r="J69">
            <v>4</v>
          </cell>
          <cell r="K69">
            <v>21</v>
          </cell>
          <cell r="R69">
            <v>0</v>
          </cell>
          <cell r="S69" t="str">
            <v>godz.9:40</v>
          </cell>
          <cell r="X69">
            <v>10</v>
          </cell>
          <cell r="Y69" t="str">
            <v>Runners Up</v>
          </cell>
          <cell r="Z69" t="str">
            <v>K0038</v>
          </cell>
          <cell r="AA69" t="str">
            <v/>
          </cell>
          <cell r="AB69" t="str">
            <v>L0004</v>
          </cell>
          <cell r="AC69" t="str">
            <v/>
          </cell>
          <cell r="AD69" t="str">
            <v>L0004</v>
          </cell>
          <cell r="AE69" t="str">
            <v/>
          </cell>
          <cell r="AF69" t="str">
            <v>21:8,21:4</v>
          </cell>
          <cell r="AG69" t="str">
            <v>8:21,4:21</v>
          </cell>
          <cell r="AH69" t="str">
            <v/>
          </cell>
          <cell r="AI69">
            <v>8</v>
          </cell>
          <cell r="AJ69">
            <v>21</v>
          </cell>
          <cell r="AK69">
            <v>4</v>
          </cell>
          <cell r="AL69">
            <v>21</v>
          </cell>
          <cell r="AM69">
            <v>0</v>
          </cell>
          <cell r="AN69">
            <v>0</v>
          </cell>
        </row>
        <row r="70">
          <cell r="A70" t="str">
            <v/>
          </cell>
          <cell r="B70" t="str">
            <v>Wojciech KWOLEK (Mielec)</v>
          </cell>
          <cell r="H70" t="str">
            <v>K0038</v>
          </cell>
          <cell r="K70" t="str">
            <v>L0004</v>
          </cell>
          <cell r="N70" t="str">
            <v>Rafał LEJKO (Nowa Dęba)</v>
          </cell>
        </row>
        <row r="71">
          <cell r="A71" t="str">
            <v/>
          </cell>
          <cell r="B71" t="str">
            <v/>
          </cell>
          <cell r="H71" t="str">
            <v/>
          </cell>
          <cell r="K71" t="str">
            <v/>
          </cell>
          <cell r="N71" t="str">
            <v/>
          </cell>
        </row>
        <row r="73">
          <cell r="B73" t="str">
            <v/>
          </cell>
          <cell r="K73" t="str">
            <v>zwycięzca(cy): 21:8,21:4</v>
          </cell>
        </row>
        <row r="74">
          <cell r="B74">
            <v>11</v>
          </cell>
          <cell r="C74" t="str">
            <v>dzień turnieju.</v>
          </cell>
          <cell r="I74" t="str">
            <v>Nr meczu</v>
          </cell>
          <cell r="N74" t="str">
            <v>Godz.</v>
          </cell>
          <cell r="R74" t="str">
            <v>S. prow.</v>
          </cell>
          <cell r="AF74" t="str">
            <v>wygrany</v>
          </cell>
          <cell r="AG74" t="str">
            <v>przegrany</v>
          </cell>
        </row>
        <row r="75">
          <cell r="B75" t="str">
            <v>Boisko</v>
          </cell>
          <cell r="C75" t="str">
            <v>Gra</v>
          </cell>
          <cell r="I75">
            <v>11</v>
          </cell>
          <cell r="N75" t="str">
            <v>rozp.</v>
          </cell>
          <cell r="P75" t="str">
            <v>zak.</v>
          </cell>
          <cell r="R75" t="str">
            <v>S. serw.</v>
          </cell>
        </row>
        <row r="76">
          <cell r="A76">
            <v>11</v>
          </cell>
          <cell r="C76" t="str">
            <v>Runners Up</v>
          </cell>
          <cell r="H76">
            <v>21</v>
          </cell>
          <cell r="I76">
            <v>14</v>
          </cell>
          <cell r="J76">
            <v>16</v>
          </cell>
          <cell r="K76">
            <v>21</v>
          </cell>
          <cell r="L76">
            <v>21</v>
          </cell>
          <cell r="M76">
            <v>19</v>
          </cell>
          <cell r="R76">
            <v>0</v>
          </cell>
          <cell r="S76" t="str">
            <v>godz.9:40</v>
          </cell>
          <cell r="X76">
            <v>11</v>
          </cell>
          <cell r="Y76" t="str">
            <v>Runners Up</v>
          </cell>
          <cell r="Z76" t="str">
            <v>N0002</v>
          </cell>
          <cell r="AA76" t="str">
            <v/>
          </cell>
          <cell r="AB76" t="str">
            <v>B0009</v>
          </cell>
          <cell r="AC76" t="str">
            <v/>
          </cell>
          <cell r="AD76" t="str">
            <v>N0002</v>
          </cell>
          <cell r="AE76" t="str">
            <v/>
          </cell>
          <cell r="AF76" t="str">
            <v>21:14,16:21,21:19</v>
          </cell>
          <cell r="AG76" t="str">
            <v>14:21,21:16,19:21</v>
          </cell>
          <cell r="AH76" t="str">
            <v/>
          </cell>
          <cell r="AI76">
            <v>21</v>
          </cell>
          <cell r="AJ76">
            <v>14</v>
          </cell>
          <cell r="AK76">
            <v>16</v>
          </cell>
          <cell r="AL76">
            <v>21</v>
          </cell>
          <cell r="AM76">
            <v>21</v>
          </cell>
          <cell r="AN76">
            <v>19</v>
          </cell>
        </row>
        <row r="77">
          <cell r="A77" t="str">
            <v/>
          </cell>
          <cell r="B77" t="str">
            <v>Robert NOWAK (Mielec)</v>
          </cell>
          <cell r="H77" t="str">
            <v>N0002</v>
          </cell>
          <cell r="K77" t="str">
            <v>B0009</v>
          </cell>
          <cell r="N77" t="str">
            <v>Adam BUNIO (Nowa Dęba)</v>
          </cell>
        </row>
        <row r="78">
          <cell r="A78" t="str">
            <v/>
          </cell>
          <cell r="B78" t="str">
            <v/>
          </cell>
          <cell r="H78" t="str">
            <v/>
          </cell>
          <cell r="K78" t="str">
            <v/>
          </cell>
          <cell r="N78" t="str">
            <v/>
          </cell>
        </row>
        <row r="80">
          <cell r="B80" t="str">
            <v>zwycięzca(cy): 21:14,16:21,21:19</v>
          </cell>
          <cell r="K80" t="str">
            <v/>
          </cell>
        </row>
        <row r="81">
          <cell r="B81">
            <v>12</v>
          </cell>
          <cell r="C81" t="str">
            <v>dzień turnieju.</v>
          </cell>
          <cell r="I81" t="str">
            <v>Nr meczu</v>
          </cell>
          <cell r="N81" t="str">
            <v>Godz.</v>
          </cell>
          <cell r="R81" t="str">
            <v>S. prow.</v>
          </cell>
          <cell r="AF81" t="str">
            <v>wygrany</v>
          </cell>
          <cell r="AG81" t="str">
            <v>przegrany</v>
          </cell>
        </row>
        <row r="82">
          <cell r="B82" t="str">
            <v>Boisko</v>
          </cell>
          <cell r="C82" t="str">
            <v>Gra</v>
          </cell>
          <cell r="I82">
            <v>12</v>
          </cell>
          <cell r="N82" t="str">
            <v>rozp.</v>
          </cell>
          <cell r="P82" t="str">
            <v>zak.</v>
          </cell>
          <cell r="R82" t="str">
            <v>S. serw.</v>
          </cell>
        </row>
        <row r="83">
          <cell r="A83">
            <v>12</v>
          </cell>
          <cell r="C83" t="str">
            <v>Runners Up</v>
          </cell>
          <cell r="H83">
            <v>11</v>
          </cell>
          <cell r="I83">
            <v>21</v>
          </cell>
          <cell r="J83">
            <v>14</v>
          </cell>
          <cell r="K83">
            <v>21</v>
          </cell>
          <cell r="R83">
            <v>0</v>
          </cell>
          <cell r="S83" t="str">
            <v>godz.9:40</v>
          </cell>
          <cell r="X83">
            <v>12</v>
          </cell>
          <cell r="Y83" t="str">
            <v>Runners Up</v>
          </cell>
          <cell r="Z83" t="str">
            <v>W0013</v>
          </cell>
          <cell r="AA83" t="str">
            <v/>
          </cell>
          <cell r="AB83" t="str">
            <v>R0015</v>
          </cell>
          <cell r="AC83" t="str">
            <v/>
          </cell>
          <cell r="AD83" t="str">
            <v>R0015</v>
          </cell>
          <cell r="AE83" t="str">
            <v/>
          </cell>
          <cell r="AF83" t="str">
            <v>21:11,21:14</v>
          </cell>
          <cell r="AG83" t="str">
            <v>11:21,14:21</v>
          </cell>
          <cell r="AH83" t="str">
            <v/>
          </cell>
          <cell r="AI83">
            <v>11</v>
          </cell>
          <cell r="AJ83">
            <v>21</v>
          </cell>
          <cell r="AK83">
            <v>14</v>
          </cell>
          <cell r="AL83">
            <v>21</v>
          </cell>
          <cell r="AM83">
            <v>0</v>
          </cell>
          <cell r="AN83">
            <v>0</v>
          </cell>
        </row>
        <row r="84">
          <cell r="A84" t="str">
            <v/>
          </cell>
          <cell r="B84" t="str">
            <v>Olaf WARNECKI (Rzeszów)</v>
          </cell>
          <cell r="H84" t="str">
            <v>W0013</v>
          </cell>
          <cell r="K84" t="str">
            <v>R0015</v>
          </cell>
          <cell r="N84" t="str">
            <v>Oskar RADZAJ (Mielec)</v>
          </cell>
        </row>
        <row r="85">
          <cell r="A85" t="str">
            <v/>
          </cell>
          <cell r="B85" t="str">
            <v/>
          </cell>
          <cell r="H85" t="str">
            <v/>
          </cell>
          <cell r="K85" t="str">
            <v/>
          </cell>
          <cell r="N85" t="str">
            <v/>
          </cell>
        </row>
        <row r="87">
          <cell r="B87" t="str">
            <v/>
          </cell>
          <cell r="K87" t="str">
            <v>zwycięzca(cy): 21:11,21:14</v>
          </cell>
        </row>
        <row r="88">
          <cell r="B88">
            <v>13</v>
          </cell>
          <cell r="C88" t="str">
            <v>dzień turnieju.</v>
          </cell>
          <cell r="I88" t="str">
            <v>Nr meczu</v>
          </cell>
          <cell r="N88" t="str">
            <v>Godz.</v>
          </cell>
          <cell r="R88" t="str">
            <v>S. prow.</v>
          </cell>
          <cell r="AF88" t="str">
            <v>wygrany</v>
          </cell>
          <cell r="AG88" t="str">
            <v>przegrany</v>
          </cell>
        </row>
        <row r="89">
          <cell r="B89" t="str">
            <v>Boisko</v>
          </cell>
          <cell r="C89" t="str">
            <v>Gra</v>
          </cell>
          <cell r="I89">
            <v>13</v>
          </cell>
          <cell r="N89" t="str">
            <v>rozp.</v>
          </cell>
          <cell r="P89" t="str">
            <v>zak.</v>
          </cell>
          <cell r="R89" t="str">
            <v>S. serw.</v>
          </cell>
        </row>
        <row r="90">
          <cell r="A90">
            <v>13</v>
          </cell>
          <cell r="C90" t="str">
            <v>Runners Up</v>
          </cell>
          <cell r="H90">
            <v>19</v>
          </cell>
          <cell r="I90">
            <v>21</v>
          </cell>
          <cell r="J90">
            <v>21</v>
          </cell>
          <cell r="K90">
            <v>14</v>
          </cell>
          <cell r="L90">
            <v>12</v>
          </cell>
          <cell r="M90">
            <v>21</v>
          </cell>
          <cell r="R90">
            <v>0</v>
          </cell>
          <cell r="S90" t="str">
            <v>godz.10:00</v>
          </cell>
          <cell r="X90">
            <v>13</v>
          </cell>
          <cell r="Y90" t="str">
            <v>Runners Up</v>
          </cell>
          <cell r="Z90" t="str">
            <v>S0032</v>
          </cell>
          <cell r="AA90" t="str">
            <v/>
          </cell>
          <cell r="AB90" t="str">
            <v>M0026</v>
          </cell>
          <cell r="AC90" t="str">
            <v/>
          </cell>
          <cell r="AD90" t="str">
            <v>M0026</v>
          </cell>
          <cell r="AE90" t="str">
            <v/>
          </cell>
          <cell r="AF90" t="str">
            <v>21:19,14:21,21:12</v>
          </cell>
          <cell r="AG90" t="str">
            <v>19:21,21:14,12:21</v>
          </cell>
          <cell r="AH90" t="str">
            <v/>
          </cell>
          <cell r="AI90">
            <v>19</v>
          </cell>
          <cell r="AJ90">
            <v>21</v>
          </cell>
          <cell r="AK90">
            <v>21</v>
          </cell>
          <cell r="AL90">
            <v>14</v>
          </cell>
          <cell r="AM90">
            <v>12</v>
          </cell>
          <cell r="AN90">
            <v>21</v>
          </cell>
        </row>
        <row r="91">
          <cell r="A91" t="str">
            <v/>
          </cell>
          <cell r="B91" t="str">
            <v>Łukasz SZANTULA (Mielec)</v>
          </cell>
          <cell r="H91" t="str">
            <v>S0032</v>
          </cell>
          <cell r="K91" t="str">
            <v>M0026</v>
          </cell>
          <cell r="N91" t="str">
            <v>Wojciech MACHAJ (Mielec)</v>
          </cell>
        </row>
        <row r="92">
          <cell r="A92" t="str">
            <v/>
          </cell>
          <cell r="B92" t="str">
            <v/>
          </cell>
          <cell r="H92" t="str">
            <v/>
          </cell>
          <cell r="K92" t="str">
            <v/>
          </cell>
          <cell r="N92" t="str">
            <v/>
          </cell>
        </row>
        <row r="94">
          <cell r="B94" t="str">
            <v/>
          </cell>
          <cell r="K94" t="str">
            <v>zwycięzca(cy): 21:19,14:21,21:12</v>
          </cell>
        </row>
        <row r="95">
          <cell r="B95">
            <v>14</v>
          </cell>
          <cell r="C95" t="str">
            <v>dzień turnieju.</v>
          </cell>
          <cell r="I95" t="str">
            <v>Nr meczu</v>
          </cell>
          <cell r="N95" t="str">
            <v>Godz.</v>
          </cell>
          <cell r="R95" t="str">
            <v>S. prow.</v>
          </cell>
          <cell r="AF95" t="str">
            <v>wygrany</v>
          </cell>
          <cell r="AG95" t="str">
            <v>przegrany</v>
          </cell>
        </row>
        <row r="96">
          <cell r="B96" t="str">
            <v>Boisko</v>
          </cell>
          <cell r="C96" t="str">
            <v>Gra</v>
          </cell>
          <cell r="I96">
            <v>14</v>
          </cell>
          <cell r="N96" t="str">
            <v>rozp.</v>
          </cell>
          <cell r="P96" t="str">
            <v>zak.</v>
          </cell>
          <cell r="R96" t="str">
            <v>S. serw.</v>
          </cell>
        </row>
        <row r="97">
          <cell r="A97">
            <v>14</v>
          </cell>
          <cell r="C97" t="str">
            <v>Runners Up</v>
          </cell>
          <cell r="H97">
            <v>21</v>
          </cell>
          <cell r="I97">
            <v>15</v>
          </cell>
          <cell r="J97">
            <v>21</v>
          </cell>
          <cell r="K97">
            <v>10</v>
          </cell>
          <cell r="R97">
            <v>0</v>
          </cell>
          <cell r="S97" t="str">
            <v>godz.10:00</v>
          </cell>
          <cell r="X97">
            <v>14</v>
          </cell>
          <cell r="Y97" t="str">
            <v>Runners Up</v>
          </cell>
          <cell r="Z97" t="str">
            <v>S0029</v>
          </cell>
          <cell r="AA97" t="str">
            <v/>
          </cell>
          <cell r="AB97" t="str">
            <v>G0013</v>
          </cell>
          <cell r="AC97" t="str">
            <v/>
          </cell>
          <cell r="AD97" t="str">
            <v>S0029</v>
          </cell>
          <cell r="AE97" t="str">
            <v/>
          </cell>
          <cell r="AF97" t="str">
            <v>21:15,21:10</v>
          </cell>
          <cell r="AG97" t="str">
            <v>15:21,10:21</v>
          </cell>
          <cell r="AH97" t="str">
            <v/>
          </cell>
          <cell r="AI97">
            <v>21</v>
          </cell>
          <cell r="AJ97">
            <v>15</v>
          </cell>
          <cell r="AK97">
            <v>21</v>
          </cell>
          <cell r="AL97">
            <v>10</v>
          </cell>
          <cell r="AM97">
            <v>0</v>
          </cell>
          <cell r="AN97">
            <v>0</v>
          </cell>
        </row>
        <row r="98">
          <cell r="A98" t="str">
            <v/>
          </cell>
          <cell r="B98" t="str">
            <v>Patryk STOLARZ (Mielec)</v>
          </cell>
          <cell r="H98" t="str">
            <v>S0029</v>
          </cell>
          <cell r="K98" t="str">
            <v>G0013</v>
          </cell>
          <cell r="N98" t="str">
            <v>Bartosz GROCHOCKI (Mielec)</v>
          </cell>
        </row>
        <row r="99">
          <cell r="A99" t="str">
            <v/>
          </cell>
          <cell r="B99" t="str">
            <v/>
          </cell>
          <cell r="H99" t="str">
            <v/>
          </cell>
          <cell r="K99" t="str">
            <v/>
          </cell>
          <cell r="N99" t="str">
            <v/>
          </cell>
        </row>
        <row r="101">
          <cell r="B101" t="str">
            <v>zwycięzca(cy): 21:15,21:10</v>
          </cell>
          <cell r="K101" t="str">
            <v/>
          </cell>
        </row>
        <row r="102">
          <cell r="B102">
            <v>15</v>
          </cell>
          <cell r="C102" t="str">
            <v>dzień turnieju.</v>
          </cell>
          <cell r="I102" t="str">
            <v>Nr meczu</v>
          </cell>
          <cell r="N102" t="str">
            <v>Godz.</v>
          </cell>
          <cell r="R102" t="str">
            <v>S. prow.</v>
          </cell>
          <cell r="AF102" t="str">
            <v>wygrany</v>
          </cell>
          <cell r="AG102" t="str">
            <v>przegrany</v>
          </cell>
        </row>
        <row r="103">
          <cell r="B103" t="str">
            <v>Boisko</v>
          </cell>
          <cell r="C103" t="str">
            <v>Gra</v>
          </cell>
          <cell r="I103">
            <v>15</v>
          </cell>
          <cell r="N103" t="str">
            <v>rozp.</v>
          </cell>
          <cell r="P103" t="str">
            <v>zak.</v>
          </cell>
          <cell r="R103" t="str">
            <v>S. serw.</v>
          </cell>
        </row>
        <row r="104">
          <cell r="A104">
            <v>15</v>
          </cell>
          <cell r="C104" t="str">
            <v>Runners Up</v>
          </cell>
          <cell r="H104">
            <v>21</v>
          </cell>
          <cell r="I104">
            <v>7</v>
          </cell>
          <cell r="J104">
            <v>21</v>
          </cell>
          <cell r="K104">
            <v>2</v>
          </cell>
          <cell r="R104">
            <v>0</v>
          </cell>
          <cell r="S104" t="str">
            <v>godz.10:00</v>
          </cell>
          <cell r="X104">
            <v>15</v>
          </cell>
          <cell r="Y104" t="str">
            <v>Runners Up</v>
          </cell>
          <cell r="Z104" t="str">
            <v>M0008</v>
          </cell>
          <cell r="AA104" t="str">
            <v/>
          </cell>
          <cell r="AB104" t="str">
            <v>K0038</v>
          </cell>
          <cell r="AC104" t="str">
            <v/>
          </cell>
          <cell r="AD104" t="str">
            <v>M0008</v>
          </cell>
          <cell r="AE104" t="str">
            <v/>
          </cell>
          <cell r="AF104" t="str">
            <v>21:7,21:2</v>
          </cell>
          <cell r="AG104" t="str">
            <v>7:21,2:21</v>
          </cell>
          <cell r="AH104" t="str">
            <v/>
          </cell>
          <cell r="AI104">
            <v>21</v>
          </cell>
          <cell r="AJ104">
            <v>7</v>
          </cell>
          <cell r="AK104">
            <v>21</v>
          </cell>
          <cell r="AL104">
            <v>2</v>
          </cell>
          <cell r="AM104">
            <v>0</v>
          </cell>
          <cell r="AN104">
            <v>0</v>
          </cell>
        </row>
        <row r="105">
          <cell r="A105" t="str">
            <v/>
          </cell>
          <cell r="B105" t="str">
            <v>Tadeusz MICHALIK (Tarnów)</v>
          </cell>
          <cell r="H105" t="str">
            <v>M0008</v>
          </cell>
          <cell r="K105" t="str">
            <v>K0038</v>
          </cell>
          <cell r="N105" t="str">
            <v>Wojciech KWOLEK (Mielec)</v>
          </cell>
        </row>
        <row r="106">
          <cell r="A106" t="str">
            <v/>
          </cell>
          <cell r="B106" t="str">
            <v/>
          </cell>
          <cell r="H106" t="str">
            <v/>
          </cell>
          <cell r="K106" t="str">
            <v/>
          </cell>
          <cell r="N106" t="str">
            <v/>
          </cell>
        </row>
        <row r="108">
          <cell r="B108" t="str">
            <v>zwycięzca(cy): 21:7,21:2</v>
          </cell>
          <cell r="K108" t="str">
            <v/>
          </cell>
        </row>
        <row r="109">
          <cell r="B109">
            <v>16</v>
          </cell>
          <cell r="C109" t="str">
            <v>dzień turnieju.</v>
          </cell>
          <cell r="I109" t="str">
            <v>Nr meczu</v>
          </cell>
          <cell r="N109" t="str">
            <v>Godz.</v>
          </cell>
          <cell r="R109" t="str">
            <v>S. prow.</v>
          </cell>
          <cell r="AF109" t="str">
            <v>wygrany</v>
          </cell>
          <cell r="AG109" t="str">
            <v>przegrany</v>
          </cell>
        </row>
        <row r="110">
          <cell r="B110" t="str">
            <v>Boisko</v>
          </cell>
          <cell r="C110" t="str">
            <v>Gra</v>
          </cell>
          <cell r="I110">
            <v>16</v>
          </cell>
          <cell r="N110" t="str">
            <v>rozp.</v>
          </cell>
          <cell r="P110" t="str">
            <v>zak.</v>
          </cell>
          <cell r="R110" t="str">
            <v>S. serw.</v>
          </cell>
        </row>
        <row r="111">
          <cell r="A111">
            <v>16</v>
          </cell>
          <cell r="C111" t="str">
            <v>Runners Up</v>
          </cell>
          <cell r="H111">
            <v>21</v>
          </cell>
          <cell r="I111">
            <v>6</v>
          </cell>
          <cell r="J111">
            <v>21</v>
          </cell>
          <cell r="K111">
            <v>4</v>
          </cell>
          <cell r="R111">
            <v>0</v>
          </cell>
          <cell r="S111" t="str">
            <v>godz.10:00</v>
          </cell>
          <cell r="X111">
            <v>16</v>
          </cell>
          <cell r="Y111" t="str">
            <v>Runners Up</v>
          </cell>
          <cell r="Z111" t="str">
            <v>L0004</v>
          </cell>
          <cell r="AA111" t="str">
            <v/>
          </cell>
          <cell r="AB111" t="str">
            <v>G0013</v>
          </cell>
          <cell r="AC111" t="str">
            <v/>
          </cell>
          <cell r="AD111" t="str">
            <v>L0004</v>
          </cell>
          <cell r="AE111" t="str">
            <v/>
          </cell>
          <cell r="AF111" t="str">
            <v>21:6,21:4</v>
          </cell>
          <cell r="AG111" t="str">
            <v>6:21,4:21</v>
          </cell>
          <cell r="AH111" t="str">
            <v/>
          </cell>
          <cell r="AI111">
            <v>21</v>
          </cell>
          <cell r="AJ111">
            <v>6</v>
          </cell>
          <cell r="AK111">
            <v>21</v>
          </cell>
          <cell r="AL111">
            <v>4</v>
          </cell>
          <cell r="AM111">
            <v>0</v>
          </cell>
          <cell r="AN111">
            <v>0</v>
          </cell>
        </row>
        <row r="112">
          <cell r="A112" t="str">
            <v/>
          </cell>
          <cell r="B112" t="str">
            <v>Rafał LEJKO (Nowa Dęba)</v>
          </cell>
          <cell r="H112" t="str">
            <v>L0004</v>
          </cell>
          <cell r="K112" t="str">
            <v>G0013</v>
          </cell>
          <cell r="N112" t="str">
            <v>Bartosz GROCHOCKI (Mielec)</v>
          </cell>
        </row>
        <row r="113">
          <cell r="A113" t="str">
            <v/>
          </cell>
          <cell r="B113" t="str">
            <v/>
          </cell>
          <cell r="H113" t="str">
            <v/>
          </cell>
          <cell r="K113" t="str">
            <v/>
          </cell>
          <cell r="N113" t="str">
            <v/>
          </cell>
        </row>
        <row r="115">
          <cell r="B115" t="str">
            <v>zwycięzca(cy): 21:6,21:4</v>
          </cell>
          <cell r="K115" t="str">
            <v/>
          </cell>
        </row>
        <row r="116">
          <cell r="B116">
            <v>17</v>
          </cell>
          <cell r="C116" t="str">
            <v>dzień turnieju.</v>
          </cell>
          <cell r="I116" t="str">
            <v>Nr meczu</v>
          </cell>
          <cell r="N116" t="str">
            <v>Godz.</v>
          </cell>
          <cell r="R116" t="str">
            <v>S. prow.</v>
          </cell>
          <cell r="AF116" t="str">
            <v>wygrany</v>
          </cell>
          <cell r="AG116" t="str">
            <v>przegrany</v>
          </cell>
        </row>
        <row r="117">
          <cell r="B117" t="str">
            <v>Boisko</v>
          </cell>
          <cell r="C117" t="str">
            <v>Gra</v>
          </cell>
          <cell r="I117">
            <v>17</v>
          </cell>
          <cell r="N117" t="str">
            <v>rozp.</v>
          </cell>
          <cell r="P117" t="str">
            <v>zak.</v>
          </cell>
          <cell r="R117" t="str">
            <v>S. serw.</v>
          </cell>
        </row>
        <row r="118">
          <cell r="A118">
            <v>17</v>
          </cell>
          <cell r="C118" t="str">
            <v>Runners Up</v>
          </cell>
          <cell r="H118">
            <v>21</v>
          </cell>
          <cell r="I118">
            <v>17</v>
          </cell>
          <cell r="J118">
            <v>21</v>
          </cell>
          <cell r="K118">
            <v>10</v>
          </cell>
          <cell r="R118">
            <v>0</v>
          </cell>
          <cell r="S118" t="str">
            <v>godz.10:20</v>
          </cell>
          <cell r="X118">
            <v>17</v>
          </cell>
          <cell r="Y118" t="str">
            <v>Runners Up</v>
          </cell>
          <cell r="Z118" t="str">
            <v>S0032</v>
          </cell>
          <cell r="AA118" t="str">
            <v/>
          </cell>
          <cell r="AB118" t="str">
            <v>R0015</v>
          </cell>
          <cell r="AC118" t="str">
            <v/>
          </cell>
          <cell r="AD118" t="str">
            <v>S0032</v>
          </cell>
          <cell r="AE118" t="str">
            <v/>
          </cell>
          <cell r="AF118" t="str">
            <v>21:17,21:10</v>
          </cell>
          <cell r="AG118" t="str">
            <v>17:21,10:21</v>
          </cell>
          <cell r="AH118" t="str">
            <v/>
          </cell>
          <cell r="AI118">
            <v>21</v>
          </cell>
          <cell r="AJ118">
            <v>17</v>
          </cell>
          <cell r="AK118">
            <v>21</v>
          </cell>
          <cell r="AL118">
            <v>10</v>
          </cell>
          <cell r="AM118">
            <v>0</v>
          </cell>
          <cell r="AN118">
            <v>0</v>
          </cell>
        </row>
        <row r="119">
          <cell r="A119" t="str">
            <v/>
          </cell>
          <cell r="B119" t="str">
            <v>Łukasz SZANTULA (Mielec)</v>
          </cell>
          <cell r="H119" t="str">
            <v>S0032</v>
          </cell>
          <cell r="K119" t="str">
            <v>R0015</v>
          </cell>
          <cell r="N119" t="str">
            <v>Oskar RADZAJ (Mielec)</v>
          </cell>
        </row>
        <row r="120">
          <cell r="A120" t="str">
            <v/>
          </cell>
          <cell r="B120" t="str">
            <v/>
          </cell>
          <cell r="H120" t="str">
            <v/>
          </cell>
          <cell r="K120" t="str">
            <v/>
          </cell>
          <cell r="N120" t="str">
            <v/>
          </cell>
        </row>
        <row r="122">
          <cell r="B122" t="str">
            <v>zwycięzca(cy): 21:17,21:10</v>
          </cell>
          <cell r="K122" t="str">
            <v/>
          </cell>
        </row>
        <row r="123">
          <cell r="B123">
            <v>18</v>
          </cell>
          <cell r="C123" t="str">
            <v>dzień turnieju.</v>
          </cell>
          <cell r="I123" t="str">
            <v>Nr meczu</v>
          </cell>
          <cell r="N123" t="str">
            <v>Godz.</v>
          </cell>
          <cell r="R123" t="str">
            <v>S. prow.</v>
          </cell>
          <cell r="AF123" t="str">
            <v>wygrany</v>
          </cell>
          <cell r="AG123" t="str">
            <v>przegrany</v>
          </cell>
        </row>
        <row r="124">
          <cell r="B124" t="str">
            <v>Boisko</v>
          </cell>
          <cell r="C124" t="str">
            <v>Gra</v>
          </cell>
          <cell r="I124">
            <v>18</v>
          </cell>
          <cell r="N124" t="str">
            <v>rozp.</v>
          </cell>
          <cell r="P124" t="str">
            <v>zak.</v>
          </cell>
          <cell r="R124" t="str">
            <v>S. serw.</v>
          </cell>
        </row>
        <row r="125">
          <cell r="A125">
            <v>18</v>
          </cell>
          <cell r="C125" t="str">
            <v>Runners Up</v>
          </cell>
          <cell r="H125">
            <v>21</v>
          </cell>
          <cell r="I125">
            <v>14</v>
          </cell>
          <cell r="J125">
            <v>17</v>
          </cell>
          <cell r="R125">
            <v>0</v>
          </cell>
          <cell r="S125" t="str">
            <v>godz.10:20</v>
          </cell>
          <cell r="X125">
            <v>18</v>
          </cell>
          <cell r="Y125" t="str">
            <v>Runners Up</v>
          </cell>
          <cell r="Z125" t="str">
            <v>N0002</v>
          </cell>
          <cell r="AA125" t="str">
            <v/>
          </cell>
          <cell r="AB125" t="str">
            <v>M0026</v>
          </cell>
          <cell r="AC125" t="str">
            <v/>
          </cell>
          <cell r="AD125" t="str">
            <v>N0002</v>
          </cell>
          <cell r="AE125" t="str">
            <v/>
          </cell>
          <cell r="AF125" t="str">
            <v>21:14</v>
          </cell>
          <cell r="AG125" t="str">
            <v>14:21</v>
          </cell>
          <cell r="AH125" t="str">
            <v/>
          </cell>
          <cell r="AI125">
            <v>21</v>
          </cell>
          <cell r="AJ125">
            <v>14</v>
          </cell>
          <cell r="AK125">
            <v>17</v>
          </cell>
          <cell r="AL125">
            <v>0</v>
          </cell>
          <cell r="AM125">
            <v>0</v>
          </cell>
          <cell r="AN125">
            <v>0</v>
          </cell>
        </row>
        <row r="126">
          <cell r="A126" t="str">
            <v/>
          </cell>
          <cell r="B126" t="str">
            <v>Robert NOWAK (Mielec)</v>
          </cell>
          <cell r="H126" t="str">
            <v>N0002</v>
          </cell>
          <cell r="K126" t="str">
            <v>M0026</v>
          </cell>
          <cell r="N126" t="str">
            <v>Wojciech MACHAJ (Mielec)</v>
          </cell>
        </row>
        <row r="127">
          <cell r="A127" t="str">
            <v/>
          </cell>
          <cell r="B127" t="str">
            <v/>
          </cell>
          <cell r="H127" t="str">
            <v/>
          </cell>
          <cell r="K127" t="str">
            <v/>
          </cell>
          <cell r="N127" t="str">
            <v/>
          </cell>
        </row>
        <row r="129">
          <cell r="B129" t="str">
            <v>zwycięzca(cy): 21:14</v>
          </cell>
          <cell r="K129" t="str">
            <v/>
          </cell>
        </row>
        <row r="130">
          <cell r="B130">
            <v>19</v>
          </cell>
          <cell r="C130" t="str">
            <v>dzień turnieju.</v>
          </cell>
          <cell r="I130" t="str">
            <v>Nr meczu</v>
          </cell>
          <cell r="N130" t="str">
            <v>Godz.</v>
          </cell>
          <cell r="R130" t="str">
            <v>S. prow.</v>
          </cell>
          <cell r="AF130" t="str">
            <v>wygrany</v>
          </cell>
          <cell r="AG130" t="str">
            <v>przegrany</v>
          </cell>
        </row>
        <row r="131">
          <cell r="B131" t="str">
            <v>Boisko</v>
          </cell>
          <cell r="C131" t="str">
            <v>Gra</v>
          </cell>
          <cell r="I131">
            <v>19</v>
          </cell>
          <cell r="N131" t="str">
            <v>rozp.</v>
          </cell>
          <cell r="P131" t="str">
            <v>zak.</v>
          </cell>
          <cell r="R131" t="str">
            <v>S. serw.</v>
          </cell>
        </row>
        <row r="132">
          <cell r="A132">
            <v>19</v>
          </cell>
          <cell r="C132" t="str">
            <v>Runners Up</v>
          </cell>
          <cell r="H132">
            <v>21</v>
          </cell>
          <cell r="I132">
            <v>14</v>
          </cell>
          <cell r="J132">
            <v>21</v>
          </cell>
          <cell r="K132">
            <v>18</v>
          </cell>
          <cell r="R132">
            <v>0</v>
          </cell>
          <cell r="S132" t="str">
            <v>godz.10:20</v>
          </cell>
          <cell r="X132">
            <v>19</v>
          </cell>
          <cell r="Y132" t="str">
            <v>Runners Up</v>
          </cell>
          <cell r="Z132" t="str">
            <v>K0014</v>
          </cell>
          <cell r="AA132" t="str">
            <v/>
          </cell>
          <cell r="AB132" t="str">
            <v>L0004</v>
          </cell>
          <cell r="AC132" t="str">
            <v/>
          </cell>
          <cell r="AD132" t="str">
            <v>K0014</v>
          </cell>
          <cell r="AE132" t="str">
            <v/>
          </cell>
          <cell r="AF132" t="str">
            <v>21:14,21:18</v>
          </cell>
          <cell r="AG132" t="str">
            <v>14:21,18:21</v>
          </cell>
          <cell r="AH132" t="str">
            <v/>
          </cell>
          <cell r="AI132">
            <v>21</v>
          </cell>
          <cell r="AJ132">
            <v>14</v>
          </cell>
          <cell r="AK132">
            <v>21</v>
          </cell>
          <cell r="AL132">
            <v>18</v>
          </cell>
          <cell r="AM132">
            <v>0</v>
          </cell>
          <cell r="AN132">
            <v>0</v>
          </cell>
        </row>
        <row r="133">
          <cell r="A133" t="str">
            <v/>
          </cell>
          <cell r="B133" t="str">
            <v>Zdzisław KULA  (Tarnów)</v>
          </cell>
          <cell r="H133" t="str">
            <v>K0014</v>
          </cell>
          <cell r="K133" t="str">
            <v>L0004</v>
          </cell>
          <cell r="N133" t="str">
            <v>Rafał LEJKO (Nowa Dęba)</v>
          </cell>
        </row>
        <row r="134">
          <cell r="A134" t="str">
            <v/>
          </cell>
          <cell r="B134" t="str">
            <v/>
          </cell>
          <cell r="H134" t="str">
            <v/>
          </cell>
          <cell r="K134" t="str">
            <v/>
          </cell>
          <cell r="N134" t="str">
            <v/>
          </cell>
        </row>
        <row r="136">
          <cell r="B136" t="str">
            <v>zwycięzca(cy): 21:14,21:18</v>
          </cell>
          <cell r="K136" t="str">
            <v/>
          </cell>
        </row>
        <row r="137">
          <cell r="B137">
            <v>20</v>
          </cell>
          <cell r="C137" t="str">
            <v>dzień turnieju.</v>
          </cell>
          <cell r="I137" t="str">
            <v>Nr meczu</v>
          </cell>
          <cell r="N137" t="str">
            <v>Godz.</v>
          </cell>
          <cell r="R137" t="str">
            <v>S. prow.</v>
          </cell>
          <cell r="AF137" t="str">
            <v>wygrany</v>
          </cell>
          <cell r="AG137" t="str">
            <v>przegrany</v>
          </cell>
        </row>
        <row r="138">
          <cell r="B138" t="str">
            <v>Boisko</v>
          </cell>
          <cell r="C138" t="str">
            <v>Gra</v>
          </cell>
          <cell r="I138">
            <v>20</v>
          </cell>
          <cell r="N138" t="str">
            <v>rozp.</v>
          </cell>
          <cell r="P138" t="str">
            <v>zak.</v>
          </cell>
          <cell r="R138" t="str">
            <v>S. serw.</v>
          </cell>
        </row>
        <row r="139">
          <cell r="A139">
            <v>20</v>
          </cell>
          <cell r="C139" t="str">
            <v>Runners Up</v>
          </cell>
          <cell r="H139">
            <v>5</v>
          </cell>
          <cell r="I139">
            <v>21</v>
          </cell>
          <cell r="J139">
            <v>12</v>
          </cell>
          <cell r="K139">
            <v>21</v>
          </cell>
          <cell r="R139">
            <v>0</v>
          </cell>
          <cell r="S139" t="str">
            <v>godz.10:20</v>
          </cell>
          <cell r="X139">
            <v>20</v>
          </cell>
          <cell r="Y139" t="str">
            <v>Runners Up</v>
          </cell>
          <cell r="Z139" t="str">
            <v>S0032</v>
          </cell>
          <cell r="AA139" t="str">
            <v/>
          </cell>
          <cell r="AB139" t="str">
            <v>S0029</v>
          </cell>
          <cell r="AC139" t="str">
            <v/>
          </cell>
          <cell r="AD139" t="str">
            <v>S0029</v>
          </cell>
          <cell r="AE139" t="str">
            <v/>
          </cell>
          <cell r="AF139" t="str">
            <v>21:5,21:12</v>
          </cell>
          <cell r="AG139" t="str">
            <v>5:21,12:21</v>
          </cell>
          <cell r="AH139" t="str">
            <v/>
          </cell>
          <cell r="AI139">
            <v>5</v>
          </cell>
          <cell r="AJ139">
            <v>21</v>
          </cell>
          <cell r="AK139">
            <v>12</v>
          </cell>
          <cell r="AL139">
            <v>21</v>
          </cell>
          <cell r="AM139">
            <v>0</v>
          </cell>
          <cell r="AN139">
            <v>0</v>
          </cell>
        </row>
        <row r="140">
          <cell r="A140" t="str">
            <v/>
          </cell>
          <cell r="B140" t="str">
            <v>Łukasz SZANTULA (Mielec)</v>
          </cell>
          <cell r="H140" t="str">
            <v>S0032</v>
          </cell>
          <cell r="K140" t="str">
            <v>S0029</v>
          </cell>
          <cell r="N140" t="str">
            <v>Patryk STOLARZ (Mielec)</v>
          </cell>
        </row>
        <row r="141">
          <cell r="A141" t="str">
            <v/>
          </cell>
          <cell r="B141" t="str">
            <v/>
          </cell>
          <cell r="H141" t="str">
            <v/>
          </cell>
          <cell r="K141" t="str">
            <v/>
          </cell>
          <cell r="N141" t="str">
            <v/>
          </cell>
        </row>
        <row r="143">
          <cell r="B143" t="str">
            <v/>
          </cell>
          <cell r="K143" t="str">
            <v>zwycięzca(cy): 21:5,21:12</v>
          </cell>
        </row>
        <row r="144">
          <cell r="B144">
            <v>21</v>
          </cell>
          <cell r="C144" t="str">
            <v>dzień turnieju.</v>
          </cell>
          <cell r="I144" t="str">
            <v>Nr meczu</v>
          </cell>
          <cell r="N144" t="str">
            <v>Godz.</v>
          </cell>
          <cell r="R144" t="str">
            <v>S. prow.</v>
          </cell>
          <cell r="AF144" t="str">
            <v>wygrany</v>
          </cell>
          <cell r="AG144" t="str">
            <v>przegrany</v>
          </cell>
        </row>
        <row r="145">
          <cell r="B145" t="str">
            <v>Boisko</v>
          </cell>
          <cell r="C145" t="str">
            <v>Gra</v>
          </cell>
          <cell r="I145">
            <v>21</v>
          </cell>
          <cell r="N145" t="str">
            <v>rozp.</v>
          </cell>
          <cell r="P145" t="str">
            <v>zak.</v>
          </cell>
          <cell r="R145" t="str">
            <v>S. serw.</v>
          </cell>
        </row>
        <row r="146">
          <cell r="A146">
            <v>21</v>
          </cell>
          <cell r="C146" t="str">
            <v>Runners Up</v>
          </cell>
          <cell r="H146">
            <v>21</v>
          </cell>
          <cell r="I146">
            <v>12</v>
          </cell>
          <cell r="J146">
            <v>21</v>
          </cell>
          <cell r="K146">
            <v>7</v>
          </cell>
          <cell r="R146">
            <v>0</v>
          </cell>
          <cell r="S146" t="str">
            <v>godz.10:40</v>
          </cell>
          <cell r="X146">
            <v>21</v>
          </cell>
          <cell r="Y146" t="str">
            <v>Runners Up</v>
          </cell>
          <cell r="Z146" t="str">
            <v>B0009</v>
          </cell>
          <cell r="AA146" t="str">
            <v/>
          </cell>
          <cell r="AB146" t="str">
            <v>M0008</v>
          </cell>
          <cell r="AC146" t="str">
            <v/>
          </cell>
          <cell r="AD146" t="str">
            <v>B0009</v>
          </cell>
          <cell r="AE146" t="str">
            <v/>
          </cell>
          <cell r="AF146" t="str">
            <v>21:12,21:7</v>
          </cell>
          <cell r="AG146" t="str">
            <v>12:21,7:21</v>
          </cell>
          <cell r="AH146" t="str">
            <v/>
          </cell>
          <cell r="AI146">
            <v>21</v>
          </cell>
          <cell r="AJ146">
            <v>12</v>
          </cell>
          <cell r="AK146">
            <v>21</v>
          </cell>
          <cell r="AL146">
            <v>7</v>
          </cell>
          <cell r="AM146">
            <v>0</v>
          </cell>
          <cell r="AN146">
            <v>0</v>
          </cell>
        </row>
        <row r="147">
          <cell r="A147" t="str">
            <v/>
          </cell>
          <cell r="B147" t="str">
            <v>Adam BUNIO (Nowa Dęba)</v>
          </cell>
          <cell r="H147" t="str">
            <v>B0009</v>
          </cell>
          <cell r="K147" t="str">
            <v>M0008</v>
          </cell>
          <cell r="N147" t="str">
            <v>Tadeusz MICHALIK (Tarnów)</v>
          </cell>
        </row>
        <row r="148">
          <cell r="A148" t="str">
            <v/>
          </cell>
          <cell r="B148" t="str">
            <v/>
          </cell>
          <cell r="H148" t="str">
            <v/>
          </cell>
          <cell r="K148" t="str">
            <v/>
          </cell>
          <cell r="N148" t="str">
            <v/>
          </cell>
        </row>
        <row r="150">
          <cell r="B150" t="str">
            <v>zwycięzca(cy): 21:12,21:7</v>
          </cell>
          <cell r="K150" t="str">
            <v/>
          </cell>
        </row>
        <row r="151">
          <cell r="B151">
            <v>22</v>
          </cell>
          <cell r="C151" t="str">
            <v>dzień turnieju.</v>
          </cell>
          <cell r="I151" t="str">
            <v>Nr meczu</v>
          </cell>
          <cell r="N151" t="str">
            <v>Godz.</v>
          </cell>
          <cell r="R151" t="str">
            <v>S. prow.</v>
          </cell>
          <cell r="AF151" t="str">
            <v>wygrany</v>
          </cell>
          <cell r="AG151" t="str">
            <v>przegrany</v>
          </cell>
        </row>
        <row r="152">
          <cell r="B152" t="str">
            <v>Boisko</v>
          </cell>
          <cell r="C152" t="str">
            <v>Gra</v>
          </cell>
          <cell r="I152">
            <v>22</v>
          </cell>
          <cell r="N152" t="str">
            <v>rozp.</v>
          </cell>
          <cell r="P152" t="str">
            <v>zak.</v>
          </cell>
          <cell r="R152" t="str">
            <v>S. serw.</v>
          </cell>
        </row>
        <row r="153">
          <cell r="A153">
            <v>22</v>
          </cell>
          <cell r="C153" t="str">
            <v>Runners Up</v>
          </cell>
          <cell r="H153">
            <v>19</v>
          </cell>
          <cell r="I153">
            <v>21</v>
          </cell>
          <cell r="J153">
            <v>21</v>
          </cell>
          <cell r="K153">
            <v>11</v>
          </cell>
          <cell r="L153">
            <v>19</v>
          </cell>
          <cell r="M153">
            <v>21</v>
          </cell>
          <cell r="R153">
            <v>0</v>
          </cell>
          <cell r="S153" t="str">
            <v>godz.10:40</v>
          </cell>
          <cell r="X153">
            <v>22</v>
          </cell>
          <cell r="Y153" t="str">
            <v>Runners Up</v>
          </cell>
          <cell r="Z153" t="str">
            <v>N0002</v>
          </cell>
          <cell r="AA153" t="str">
            <v/>
          </cell>
          <cell r="AB153" t="str">
            <v>K0014</v>
          </cell>
          <cell r="AC153" t="str">
            <v/>
          </cell>
          <cell r="AD153" t="str">
            <v>K0014</v>
          </cell>
          <cell r="AE153" t="str">
            <v/>
          </cell>
          <cell r="AF153" t="str">
            <v>21:19,11:21,21:19</v>
          </cell>
          <cell r="AG153" t="str">
            <v>19:21,21:11,19:21</v>
          </cell>
          <cell r="AH153" t="str">
            <v/>
          </cell>
          <cell r="AI153">
            <v>19</v>
          </cell>
          <cell r="AJ153">
            <v>21</v>
          </cell>
          <cell r="AK153">
            <v>21</v>
          </cell>
          <cell r="AL153">
            <v>11</v>
          </cell>
          <cell r="AM153">
            <v>19</v>
          </cell>
          <cell r="AN153">
            <v>21</v>
          </cell>
        </row>
        <row r="154">
          <cell r="A154" t="str">
            <v/>
          </cell>
          <cell r="B154" t="str">
            <v>Robert NOWAK (Mielec)</v>
          </cell>
          <cell r="H154" t="str">
            <v>N0002</v>
          </cell>
          <cell r="K154" t="str">
            <v>K0014</v>
          </cell>
          <cell r="N154" t="str">
            <v>Zdzisław KULA  (Tarnów)</v>
          </cell>
        </row>
        <row r="155">
          <cell r="A155" t="str">
            <v/>
          </cell>
          <cell r="B155" t="str">
            <v/>
          </cell>
          <cell r="H155" t="str">
            <v/>
          </cell>
          <cell r="K155" t="str">
            <v/>
          </cell>
          <cell r="N155" t="str">
            <v/>
          </cell>
        </row>
        <row r="157">
          <cell r="B157" t="str">
            <v/>
          </cell>
          <cell r="K157" t="str">
            <v>zwycięzca(cy): 21:19,11:21,21:19</v>
          </cell>
        </row>
        <row r="158">
          <cell r="B158">
            <v>23</v>
          </cell>
          <cell r="C158" t="str">
            <v>dzień turnieju.</v>
          </cell>
          <cell r="I158" t="str">
            <v>Nr meczu</v>
          </cell>
          <cell r="N158" t="str">
            <v>Godz.</v>
          </cell>
          <cell r="R158" t="str">
            <v>S. prow.</v>
          </cell>
          <cell r="AF158" t="str">
            <v>wygrany</v>
          </cell>
          <cell r="AG158" t="str">
            <v>przegrany</v>
          </cell>
        </row>
        <row r="159">
          <cell r="B159" t="str">
            <v>Boisko</v>
          </cell>
          <cell r="C159" t="str">
            <v>Gra</v>
          </cell>
          <cell r="I159">
            <v>23</v>
          </cell>
          <cell r="N159" t="str">
            <v>rozp.</v>
          </cell>
          <cell r="P159" t="str">
            <v>zak.</v>
          </cell>
          <cell r="R159" t="str">
            <v>S. serw.</v>
          </cell>
        </row>
        <row r="160">
          <cell r="A160">
            <v>23</v>
          </cell>
          <cell r="C160" t="str">
            <v>Runners Up</v>
          </cell>
          <cell r="H160">
            <v>23</v>
          </cell>
          <cell r="I160">
            <v>21</v>
          </cell>
          <cell r="J160">
            <v>7</v>
          </cell>
          <cell r="K160">
            <v>21</v>
          </cell>
          <cell r="L160">
            <v>0</v>
          </cell>
          <cell r="M160">
            <v>21</v>
          </cell>
          <cell r="R160">
            <v>0</v>
          </cell>
          <cell r="S160" t="str">
            <v>godz.10:40</v>
          </cell>
          <cell r="X160">
            <v>23</v>
          </cell>
          <cell r="Y160" t="str">
            <v>Runners Up</v>
          </cell>
          <cell r="Z160" t="str">
            <v>S0029</v>
          </cell>
          <cell r="AA160" t="str">
            <v/>
          </cell>
          <cell r="AB160" t="str">
            <v>B0009</v>
          </cell>
          <cell r="AC160" t="str">
            <v/>
          </cell>
          <cell r="AD160" t="str">
            <v>B0009</v>
          </cell>
          <cell r="AE160" t="str">
            <v/>
          </cell>
          <cell r="AF160" t="str">
            <v>21:23,21:7,21:0</v>
          </cell>
          <cell r="AG160" t="str">
            <v>23:21,7:21,0:21</v>
          </cell>
          <cell r="AH160" t="str">
            <v/>
          </cell>
          <cell r="AI160">
            <v>23</v>
          </cell>
          <cell r="AJ160">
            <v>21</v>
          </cell>
          <cell r="AK160">
            <v>7</v>
          </cell>
          <cell r="AL160">
            <v>21</v>
          </cell>
          <cell r="AM160">
            <v>0</v>
          </cell>
          <cell r="AN160">
            <v>21</v>
          </cell>
        </row>
        <row r="161">
          <cell r="A161" t="str">
            <v/>
          </cell>
          <cell r="B161" t="str">
            <v>Patryk STOLARZ (Mielec)</v>
          </cell>
          <cell r="H161" t="str">
            <v>S0029</v>
          </cell>
          <cell r="K161" t="str">
            <v>B0009</v>
          </cell>
          <cell r="N161" t="str">
            <v>Adam BUNIO (Nowa Dęba)</v>
          </cell>
        </row>
        <row r="162">
          <cell r="A162" t="str">
            <v/>
          </cell>
          <cell r="B162" t="str">
            <v/>
          </cell>
          <cell r="H162" t="str">
            <v/>
          </cell>
          <cell r="K162" t="str">
            <v/>
          </cell>
          <cell r="N162" t="str">
            <v/>
          </cell>
        </row>
        <row r="164">
          <cell r="B164" t="str">
            <v/>
          </cell>
          <cell r="K164" t="str">
            <v>zwycięzca(cy): 21:23,21:7,21:0</v>
          </cell>
        </row>
        <row r="165">
          <cell r="B165">
            <v>24</v>
          </cell>
          <cell r="C165" t="str">
            <v>dzień turnieju.</v>
          </cell>
          <cell r="I165" t="str">
            <v>Nr meczu</v>
          </cell>
          <cell r="N165" t="str">
            <v>Godz.</v>
          </cell>
          <cell r="R165" t="str">
            <v>S. prow.</v>
          </cell>
          <cell r="AF165" t="str">
            <v>wygrany</v>
          </cell>
          <cell r="AG165" t="str">
            <v>przegrany</v>
          </cell>
        </row>
        <row r="166">
          <cell r="B166" t="str">
            <v>Boisko</v>
          </cell>
          <cell r="C166" t="str">
            <v>Gra</v>
          </cell>
          <cell r="I166">
            <v>24</v>
          </cell>
          <cell r="N166" t="str">
            <v>rozp.</v>
          </cell>
          <cell r="P166" t="str">
            <v>zak.</v>
          </cell>
          <cell r="R166" t="str">
            <v>S. serw.</v>
          </cell>
        </row>
        <row r="167">
          <cell r="A167">
            <v>24</v>
          </cell>
          <cell r="C167" t="str">
            <v>Runners Up</v>
          </cell>
          <cell r="H167">
            <v>0</v>
          </cell>
          <cell r="I167">
            <v>21</v>
          </cell>
          <cell r="J167">
            <v>0</v>
          </cell>
          <cell r="K167">
            <v>21</v>
          </cell>
          <cell r="R167">
            <v>0</v>
          </cell>
          <cell r="S167" t="str">
            <v>godz.10:40</v>
          </cell>
          <cell r="X167">
            <v>24</v>
          </cell>
          <cell r="Y167" t="str">
            <v>Runners Up</v>
          </cell>
          <cell r="Z167" t="str">
            <v>N0002</v>
          </cell>
          <cell r="AA167" t="str">
            <v/>
          </cell>
          <cell r="AB167" t="str">
            <v>S0029</v>
          </cell>
          <cell r="AC167" t="str">
            <v/>
          </cell>
          <cell r="AD167" t="str">
            <v>S0029</v>
          </cell>
          <cell r="AE167" t="str">
            <v/>
          </cell>
          <cell r="AF167" t="str">
            <v>21:0,21:0</v>
          </cell>
          <cell r="AG167" t="str">
            <v>0:21,0:21</v>
          </cell>
          <cell r="AH167" t="str">
            <v/>
          </cell>
          <cell r="AI167">
            <v>0</v>
          </cell>
          <cell r="AJ167">
            <v>21</v>
          </cell>
          <cell r="AK167">
            <v>0</v>
          </cell>
          <cell r="AL167">
            <v>21</v>
          </cell>
          <cell r="AM167">
            <v>0</v>
          </cell>
          <cell r="AN167">
            <v>0</v>
          </cell>
        </row>
        <row r="168">
          <cell r="A168" t="str">
            <v/>
          </cell>
          <cell r="B168" t="str">
            <v>Robert NOWAK (Mielec)</v>
          </cell>
          <cell r="H168" t="str">
            <v>N0002</v>
          </cell>
          <cell r="K168" t="str">
            <v>S0029</v>
          </cell>
          <cell r="N168" t="str">
            <v>Patryk STOLARZ (Mielec)</v>
          </cell>
        </row>
        <row r="169">
          <cell r="A169" t="str">
            <v/>
          </cell>
          <cell r="B169" t="str">
            <v/>
          </cell>
          <cell r="H169" t="str">
            <v/>
          </cell>
          <cell r="K169" t="str">
            <v/>
          </cell>
          <cell r="N169" t="str">
            <v/>
          </cell>
        </row>
        <row r="171">
          <cell r="B171" t="str">
            <v/>
          </cell>
          <cell r="K171" t="str">
            <v>zwycięzca(cy): 21:0,21:0</v>
          </cell>
        </row>
        <row r="172">
          <cell r="B172">
            <v>25</v>
          </cell>
          <cell r="C172" t="str">
            <v>dzień turnieju.</v>
          </cell>
          <cell r="I172" t="str">
            <v>Nr meczu</v>
          </cell>
          <cell r="N172" t="str">
            <v>Godz.</v>
          </cell>
          <cell r="R172" t="str">
            <v>S. prow.</v>
          </cell>
          <cell r="AF172" t="str">
            <v>wygrany</v>
          </cell>
          <cell r="AG172" t="str">
            <v>przegrany</v>
          </cell>
        </row>
        <row r="173">
          <cell r="B173" t="str">
            <v>Boisko</v>
          </cell>
          <cell r="C173" t="str">
            <v>Gra</v>
          </cell>
          <cell r="I173">
            <v>25</v>
          </cell>
          <cell r="N173" t="str">
            <v>rozp.</v>
          </cell>
          <cell r="P173" t="str">
            <v>zak.</v>
          </cell>
          <cell r="R173" t="str">
            <v>S. serw.</v>
          </cell>
        </row>
        <row r="174">
          <cell r="A174">
            <v>25</v>
          </cell>
          <cell r="C174" t="str">
            <v>Runners Up</v>
          </cell>
          <cell r="H174">
            <v>12</v>
          </cell>
          <cell r="I174">
            <v>21</v>
          </cell>
          <cell r="J174">
            <v>21</v>
          </cell>
          <cell r="K174">
            <v>18</v>
          </cell>
          <cell r="L174">
            <v>26</v>
          </cell>
          <cell r="M174">
            <v>24</v>
          </cell>
          <cell r="R174">
            <v>0</v>
          </cell>
          <cell r="S174" t="str">
            <v>godz.11:00</v>
          </cell>
          <cell r="X174">
            <v>25</v>
          </cell>
          <cell r="Y174" t="str">
            <v>Runners Up</v>
          </cell>
          <cell r="Z174" t="str">
            <v>K0014</v>
          </cell>
          <cell r="AA174" t="str">
            <v/>
          </cell>
          <cell r="AB174" t="str">
            <v>B0009</v>
          </cell>
          <cell r="AC174" t="str">
            <v/>
          </cell>
          <cell r="AD174" t="str">
            <v>K0014</v>
          </cell>
          <cell r="AE174" t="str">
            <v/>
          </cell>
          <cell r="AF174" t="str">
            <v>12:21,21:18,26:24</v>
          </cell>
          <cell r="AG174" t="str">
            <v>21:12,18:21,24:26</v>
          </cell>
          <cell r="AH174" t="str">
            <v/>
          </cell>
          <cell r="AI174">
            <v>12</v>
          </cell>
          <cell r="AJ174">
            <v>21</v>
          </cell>
          <cell r="AK174">
            <v>21</v>
          </cell>
          <cell r="AL174">
            <v>18</v>
          </cell>
          <cell r="AM174">
            <v>26</v>
          </cell>
          <cell r="AN174">
            <v>24</v>
          </cell>
        </row>
        <row r="175">
          <cell r="A175" t="str">
            <v/>
          </cell>
          <cell r="B175" t="str">
            <v>Zdzisław KULA  (Tarnów)</v>
          </cell>
          <cell r="H175" t="str">
            <v>K0014</v>
          </cell>
          <cell r="K175" t="str">
            <v>B0009</v>
          </cell>
          <cell r="N175" t="str">
            <v>Adam BUNIO (Nowa Dęba)</v>
          </cell>
        </row>
        <row r="176">
          <cell r="A176" t="str">
            <v/>
          </cell>
          <cell r="B176" t="str">
            <v/>
          </cell>
          <cell r="H176" t="str">
            <v/>
          </cell>
          <cell r="K176" t="str">
            <v/>
          </cell>
          <cell r="N176" t="str">
            <v/>
          </cell>
        </row>
        <row r="178">
          <cell r="B178" t="str">
            <v>zwycięzca(cy): 12:21,21:18,26:24</v>
          </cell>
          <cell r="K178" t="str">
            <v/>
          </cell>
        </row>
        <row r="179">
          <cell r="B179">
            <v>26</v>
          </cell>
          <cell r="C179" t="str">
            <v>dzień turnieju.</v>
          </cell>
          <cell r="I179" t="str">
            <v>Nr meczu</v>
          </cell>
          <cell r="N179" t="str">
            <v>Godz.</v>
          </cell>
          <cell r="R179" t="str">
            <v>S. prow.</v>
          </cell>
          <cell r="AF179" t="str">
            <v>wygrany</v>
          </cell>
          <cell r="AG179" t="str">
            <v>przegrany</v>
          </cell>
        </row>
        <row r="180">
          <cell r="B180" t="str">
            <v>Boisko</v>
          </cell>
          <cell r="C180" t="str">
            <v>Gra</v>
          </cell>
          <cell r="I180">
            <v>26</v>
          </cell>
          <cell r="N180" t="str">
            <v>rozp.</v>
          </cell>
          <cell r="P180" t="str">
            <v>zak.</v>
          </cell>
          <cell r="R180" t="str">
            <v>S. serw.</v>
          </cell>
        </row>
        <row r="181">
          <cell r="A181">
            <v>26</v>
          </cell>
          <cell r="C181" t="str">
            <v>Kobiet</v>
          </cell>
          <cell r="H181">
            <v>21</v>
          </cell>
          <cell r="I181">
            <v>9</v>
          </cell>
          <cell r="J181">
            <v>21</v>
          </cell>
          <cell r="K181">
            <v>5</v>
          </cell>
          <cell r="R181">
            <v>0</v>
          </cell>
          <cell r="S181" t="str">
            <v>godz.11:00</v>
          </cell>
          <cell r="X181">
            <v>26</v>
          </cell>
          <cell r="Y181" t="str">
            <v>Kobiet</v>
          </cell>
          <cell r="Z181" t="str">
            <v>N0005</v>
          </cell>
          <cell r="AA181" t="str">
            <v/>
          </cell>
          <cell r="AB181" t="str">
            <v>R0016</v>
          </cell>
          <cell r="AC181" t="str">
            <v/>
          </cell>
          <cell r="AD181" t="str">
            <v>N0005</v>
          </cell>
          <cell r="AE181" t="str">
            <v/>
          </cell>
          <cell r="AF181" t="str">
            <v>21:9,21:5</v>
          </cell>
          <cell r="AG181" t="str">
            <v>9:21,5:21</v>
          </cell>
          <cell r="AH181" t="str">
            <v/>
          </cell>
          <cell r="AI181">
            <v>21</v>
          </cell>
          <cell r="AJ181">
            <v>9</v>
          </cell>
          <cell r="AK181">
            <v>21</v>
          </cell>
          <cell r="AL181">
            <v>5</v>
          </cell>
          <cell r="AM181">
            <v>0</v>
          </cell>
          <cell r="AN181">
            <v>0</v>
          </cell>
        </row>
        <row r="182">
          <cell r="A182" t="str">
            <v/>
          </cell>
          <cell r="B182" t="str">
            <v>Izabela NOWAK (Mielec)</v>
          </cell>
          <cell r="H182" t="str">
            <v>N0005</v>
          </cell>
          <cell r="K182" t="str">
            <v>R0016</v>
          </cell>
          <cell r="N182" t="str">
            <v>Oliwia RYBIŃSKA (Mielec)</v>
          </cell>
        </row>
        <row r="183">
          <cell r="A183" t="str">
            <v/>
          </cell>
          <cell r="B183" t="str">
            <v/>
          </cell>
          <cell r="H183" t="str">
            <v/>
          </cell>
          <cell r="K183" t="str">
            <v/>
          </cell>
          <cell r="N183" t="str">
            <v/>
          </cell>
        </row>
        <row r="185">
          <cell r="B185" t="str">
            <v>zwycięzca(cy): 21:9,21:5</v>
          </cell>
          <cell r="K185" t="str">
            <v/>
          </cell>
        </row>
        <row r="186">
          <cell r="B186">
            <v>27</v>
          </cell>
          <cell r="C186" t="str">
            <v>dzień turnieju.</v>
          </cell>
          <cell r="I186" t="str">
            <v>Nr meczu</v>
          </cell>
          <cell r="N186" t="str">
            <v>Godz.</v>
          </cell>
          <cell r="R186" t="str">
            <v>S. prow.</v>
          </cell>
          <cell r="AF186" t="str">
            <v>wygrany</v>
          </cell>
          <cell r="AG186" t="str">
            <v>przegrany</v>
          </cell>
        </row>
        <row r="187">
          <cell r="B187" t="str">
            <v>Boisko</v>
          </cell>
          <cell r="C187" t="str">
            <v>Gra</v>
          </cell>
          <cell r="I187">
            <v>27</v>
          </cell>
          <cell r="N187" t="str">
            <v>rozp.</v>
          </cell>
          <cell r="P187" t="str">
            <v>zak.</v>
          </cell>
          <cell r="R187" t="str">
            <v>S. serw.</v>
          </cell>
        </row>
        <row r="188">
          <cell r="A188">
            <v>27</v>
          </cell>
          <cell r="C188" t="str">
            <v>Kobiet</v>
          </cell>
          <cell r="H188">
            <v>21</v>
          </cell>
          <cell r="I188">
            <v>9</v>
          </cell>
          <cell r="J188">
            <v>21</v>
          </cell>
          <cell r="K188">
            <v>4</v>
          </cell>
          <cell r="R188">
            <v>0</v>
          </cell>
          <cell r="S188" t="str">
            <v>godz.11:00</v>
          </cell>
          <cell r="X188">
            <v>27</v>
          </cell>
          <cell r="Y188" t="str">
            <v>Kobiet</v>
          </cell>
          <cell r="Z188" t="str">
            <v>R0013</v>
          </cell>
          <cell r="AA188" t="str">
            <v/>
          </cell>
          <cell r="AB188" t="str">
            <v>D0008</v>
          </cell>
          <cell r="AC188" t="str">
            <v/>
          </cell>
          <cell r="AD188" t="str">
            <v>R0013</v>
          </cell>
          <cell r="AE188" t="str">
            <v/>
          </cell>
          <cell r="AF188" t="str">
            <v>21:9,21:4</v>
          </cell>
          <cell r="AG188" t="str">
            <v>9:21,4:21</v>
          </cell>
          <cell r="AH188" t="str">
            <v/>
          </cell>
          <cell r="AI188">
            <v>21</v>
          </cell>
          <cell r="AJ188">
            <v>9</v>
          </cell>
          <cell r="AK188">
            <v>21</v>
          </cell>
          <cell r="AL188">
            <v>4</v>
          </cell>
          <cell r="AM188">
            <v>0</v>
          </cell>
          <cell r="AN188">
            <v>0</v>
          </cell>
        </row>
        <row r="189">
          <cell r="A189" t="str">
            <v/>
          </cell>
          <cell r="B189" t="str">
            <v>Natalia RÓG (Nowa Dęba)</v>
          </cell>
          <cell r="H189" t="str">
            <v>R0013</v>
          </cell>
          <cell r="K189" t="str">
            <v>D0008</v>
          </cell>
          <cell r="N189" t="str">
            <v>Patrycja DOMAŃSKA (Rzeszów)</v>
          </cell>
        </row>
        <row r="190">
          <cell r="A190" t="str">
            <v/>
          </cell>
          <cell r="B190" t="str">
            <v/>
          </cell>
          <cell r="H190" t="str">
            <v/>
          </cell>
          <cell r="K190" t="str">
            <v/>
          </cell>
          <cell r="N190" t="str">
            <v/>
          </cell>
        </row>
        <row r="192">
          <cell r="B192" t="str">
            <v>zwycięzca(cy): 21:9,21:4</v>
          </cell>
          <cell r="K192" t="str">
            <v/>
          </cell>
        </row>
        <row r="193">
          <cell r="B193">
            <v>28</v>
          </cell>
          <cell r="C193" t="str">
            <v>dzień turnieju.</v>
          </cell>
          <cell r="I193" t="str">
            <v>Nr meczu</v>
          </cell>
          <cell r="N193" t="str">
            <v>Godz.</v>
          </cell>
          <cell r="R193" t="str">
            <v>S. prow.</v>
          </cell>
          <cell r="AF193" t="str">
            <v>wygrany</v>
          </cell>
          <cell r="AG193" t="str">
            <v>przegrany</v>
          </cell>
        </row>
        <row r="194">
          <cell r="B194" t="str">
            <v>Boisko</v>
          </cell>
          <cell r="C194" t="str">
            <v>Gra</v>
          </cell>
          <cell r="I194">
            <v>28</v>
          </cell>
          <cell r="N194" t="str">
            <v>rozp.</v>
          </cell>
          <cell r="P194" t="str">
            <v>zak.</v>
          </cell>
          <cell r="R194" t="str">
            <v>S. serw.</v>
          </cell>
        </row>
        <row r="195">
          <cell r="A195">
            <v>28</v>
          </cell>
          <cell r="C195" t="str">
            <v>Kobiet</v>
          </cell>
          <cell r="H195">
            <v>21</v>
          </cell>
          <cell r="I195">
            <v>1</v>
          </cell>
          <cell r="J195">
            <v>21</v>
          </cell>
          <cell r="K195">
            <v>0</v>
          </cell>
          <cell r="R195">
            <v>0</v>
          </cell>
          <cell r="S195" t="str">
            <v>godz.11:00</v>
          </cell>
          <cell r="X195">
            <v>28</v>
          </cell>
          <cell r="Y195" t="str">
            <v>Kobiet</v>
          </cell>
          <cell r="Z195" t="str">
            <v>M0027</v>
          </cell>
          <cell r="AA195" t="str">
            <v/>
          </cell>
          <cell r="AB195" t="str">
            <v>R0016</v>
          </cell>
          <cell r="AC195" t="str">
            <v/>
          </cell>
          <cell r="AD195" t="str">
            <v>M0027</v>
          </cell>
          <cell r="AE195" t="str">
            <v/>
          </cell>
          <cell r="AF195" t="str">
            <v>21:1,21:0</v>
          </cell>
          <cell r="AG195" t="str">
            <v>1:21,0:21</v>
          </cell>
          <cell r="AH195" t="str">
            <v/>
          </cell>
          <cell r="AI195">
            <v>21</v>
          </cell>
          <cell r="AJ195">
            <v>1</v>
          </cell>
          <cell r="AK195">
            <v>21</v>
          </cell>
          <cell r="AL195">
            <v>0</v>
          </cell>
          <cell r="AM195">
            <v>0</v>
          </cell>
          <cell r="AN195">
            <v>0</v>
          </cell>
        </row>
        <row r="196">
          <cell r="A196" t="str">
            <v/>
          </cell>
          <cell r="B196" t="str">
            <v>Beata MYCEK (Nowa Dęba)</v>
          </cell>
          <cell r="H196" t="str">
            <v>M0027</v>
          </cell>
          <cell r="K196" t="str">
            <v>R0016</v>
          </cell>
          <cell r="N196" t="str">
            <v>Oliwia RYBIŃSKA (Mielec)</v>
          </cell>
        </row>
        <row r="197">
          <cell r="A197" t="str">
            <v/>
          </cell>
          <cell r="B197" t="str">
            <v/>
          </cell>
          <cell r="H197" t="str">
            <v/>
          </cell>
          <cell r="K197" t="str">
            <v/>
          </cell>
          <cell r="N197" t="str">
            <v/>
          </cell>
        </row>
        <row r="199">
          <cell r="B199" t="str">
            <v>zwycięzca(cy): 21:1,21:0</v>
          </cell>
          <cell r="K199" t="str">
            <v/>
          </cell>
        </row>
        <row r="200">
          <cell r="B200">
            <v>29</v>
          </cell>
          <cell r="C200" t="str">
            <v>dzień turnieju.</v>
          </cell>
          <cell r="I200" t="str">
            <v>Nr meczu</v>
          </cell>
          <cell r="N200" t="str">
            <v>Godz.</v>
          </cell>
          <cell r="R200" t="str">
            <v>S. prow.</v>
          </cell>
          <cell r="AF200" t="str">
            <v>wygrany</v>
          </cell>
          <cell r="AG200" t="str">
            <v>przegrany</v>
          </cell>
        </row>
        <row r="201">
          <cell r="B201" t="str">
            <v>Boisko</v>
          </cell>
          <cell r="C201" t="str">
            <v>Gra</v>
          </cell>
          <cell r="I201">
            <v>29</v>
          </cell>
          <cell r="N201" t="str">
            <v>rozp.</v>
          </cell>
          <cell r="P201" t="str">
            <v>zak.</v>
          </cell>
          <cell r="R201" t="str">
            <v>S. serw.</v>
          </cell>
        </row>
        <row r="202">
          <cell r="A202">
            <v>29</v>
          </cell>
          <cell r="C202" t="str">
            <v>Kobiet</v>
          </cell>
          <cell r="H202">
            <v>2</v>
          </cell>
          <cell r="I202">
            <v>21</v>
          </cell>
          <cell r="J202">
            <v>4</v>
          </cell>
          <cell r="K202">
            <v>21</v>
          </cell>
          <cell r="R202">
            <v>0</v>
          </cell>
          <cell r="S202" t="str">
            <v>godz.11:20</v>
          </cell>
          <cell r="X202">
            <v>29</v>
          </cell>
          <cell r="Y202" t="str">
            <v>Kobiet</v>
          </cell>
          <cell r="Z202" t="str">
            <v>G0016</v>
          </cell>
          <cell r="AA202" t="str">
            <v/>
          </cell>
          <cell r="AB202" t="str">
            <v>D0008</v>
          </cell>
          <cell r="AC202" t="str">
            <v/>
          </cell>
          <cell r="AD202" t="str">
            <v>D0008</v>
          </cell>
          <cell r="AE202" t="str">
            <v/>
          </cell>
          <cell r="AF202" t="str">
            <v>21:2,21:4</v>
          </cell>
          <cell r="AG202" t="str">
            <v>2:21,4:21</v>
          </cell>
          <cell r="AH202" t="str">
            <v/>
          </cell>
          <cell r="AI202">
            <v>2</v>
          </cell>
          <cell r="AJ202">
            <v>21</v>
          </cell>
          <cell r="AK202">
            <v>4</v>
          </cell>
          <cell r="AL202">
            <v>21</v>
          </cell>
          <cell r="AM202">
            <v>0</v>
          </cell>
          <cell r="AN202">
            <v>0</v>
          </cell>
        </row>
        <row r="203">
          <cell r="A203" t="str">
            <v/>
          </cell>
          <cell r="B203" t="str">
            <v>Wiktoria GRĄDZKA (Mielec)</v>
          </cell>
          <cell r="H203" t="str">
            <v>G0016</v>
          </cell>
          <cell r="K203" t="str">
            <v>D0008</v>
          </cell>
          <cell r="N203" t="str">
            <v>Patrycja DOMAŃSKA (Rzeszów)</v>
          </cell>
        </row>
        <row r="204">
          <cell r="A204" t="str">
            <v/>
          </cell>
          <cell r="B204" t="str">
            <v/>
          </cell>
          <cell r="H204" t="str">
            <v/>
          </cell>
          <cell r="K204" t="str">
            <v/>
          </cell>
          <cell r="N204" t="str">
            <v/>
          </cell>
        </row>
        <row r="206">
          <cell r="B206" t="str">
            <v/>
          </cell>
          <cell r="K206" t="str">
            <v>zwycięzca(cy): 21:2,21:4</v>
          </cell>
        </row>
        <row r="207">
          <cell r="B207">
            <v>30</v>
          </cell>
          <cell r="C207" t="str">
            <v>dzień turnieju.</v>
          </cell>
          <cell r="I207" t="str">
            <v>Nr meczu</v>
          </cell>
          <cell r="N207" t="str">
            <v>Godz.</v>
          </cell>
          <cell r="R207" t="str">
            <v>S. prow.</v>
          </cell>
          <cell r="AF207" t="str">
            <v>wygrany</v>
          </cell>
          <cell r="AG207" t="str">
            <v>przegrany</v>
          </cell>
        </row>
        <row r="208">
          <cell r="B208" t="str">
            <v>Boisko</v>
          </cell>
          <cell r="C208" t="str">
            <v>Gra</v>
          </cell>
          <cell r="I208">
            <v>30</v>
          </cell>
          <cell r="N208" t="str">
            <v>rozp.</v>
          </cell>
          <cell r="P208" t="str">
            <v>zak.</v>
          </cell>
          <cell r="R208" t="str">
            <v>S. serw.</v>
          </cell>
        </row>
        <row r="209">
          <cell r="A209">
            <v>30</v>
          </cell>
          <cell r="C209" t="str">
            <v>Kobiet</v>
          </cell>
          <cell r="H209">
            <v>9</v>
          </cell>
          <cell r="I209">
            <v>21</v>
          </cell>
          <cell r="J209">
            <v>3</v>
          </cell>
          <cell r="K209">
            <v>21</v>
          </cell>
          <cell r="R209">
            <v>0</v>
          </cell>
          <cell r="S209" t="str">
            <v>godz.11:20</v>
          </cell>
          <cell r="X209">
            <v>30</v>
          </cell>
          <cell r="Y209" t="str">
            <v>Kobiet</v>
          </cell>
          <cell r="Z209" t="str">
            <v>N0005</v>
          </cell>
          <cell r="AA209" t="str">
            <v/>
          </cell>
          <cell r="AB209" t="str">
            <v>M0027</v>
          </cell>
          <cell r="AC209" t="str">
            <v/>
          </cell>
          <cell r="AD209" t="str">
            <v>M0027</v>
          </cell>
          <cell r="AE209" t="str">
            <v/>
          </cell>
          <cell r="AF209" t="str">
            <v>21:9,21:3</v>
          </cell>
          <cell r="AG209" t="str">
            <v>9:21,3:21</v>
          </cell>
          <cell r="AH209" t="str">
            <v/>
          </cell>
          <cell r="AI209">
            <v>9</v>
          </cell>
          <cell r="AJ209">
            <v>21</v>
          </cell>
          <cell r="AK209">
            <v>3</v>
          </cell>
          <cell r="AL209">
            <v>21</v>
          </cell>
          <cell r="AM209">
            <v>0</v>
          </cell>
          <cell r="AN209">
            <v>0</v>
          </cell>
        </row>
        <row r="210">
          <cell r="A210" t="str">
            <v/>
          </cell>
          <cell r="B210" t="str">
            <v>Izabela NOWAK (Mielec)</v>
          </cell>
          <cell r="H210" t="str">
            <v>N0005</v>
          </cell>
          <cell r="K210" t="str">
            <v>M0027</v>
          </cell>
          <cell r="N210" t="str">
            <v>Beata MYCEK (Nowa Dęba)</v>
          </cell>
        </row>
        <row r="211">
          <cell r="A211" t="str">
            <v/>
          </cell>
          <cell r="B211" t="str">
            <v/>
          </cell>
          <cell r="H211" t="str">
            <v/>
          </cell>
          <cell r="K211" t="str">
            <v/>
          </cell>
          <cell r="N211" t="str">
            <v/>
          </cell>
        </row>
        <row r="213">
          <cell r="B213" t="str">
            <v/>
          </cell>
          <cell r="K213" t="str">
            <v>zwycięzca(cy): 21:9,21:3</v>
          </cell>
        </row>
        <row r="214">
          <cell r="B214">
            <v>31</v>
          </cell>
          <cell r="C214" t="str">
            <v>dzień turnieju.</v>
          </cell>
          <cell r="I214" t="str">
            <v>Nr meczu</v>
          </cell>
          <cell r="N214" t="str">
            <v>Godz.</v>
          </cell>
          <cell r="R214" t="str">
            <v>S. prow.</v>
          </cell>
          <cell r="AF214" t="str">
            <v>wygrany</v>
          </cell>
          <cell r="AG214" t="str">
            <v>przegrany</v>
          </cell>
        </row>
        <row r="215">
          <cell r="B215" t="str">
            <v>Boisko</v>
          </cell>
          <cell r="C215" t="str">
            <v>Gra</v>
          </cell>
          <cell r="I215">
            <v>31</v>
          </cell>
          <cell r="N215" t="str">
            <v>rozp.</v>
          </cell>
          <cell r="P215" t="str">
            <v>zak.</v>
          </cell>
          <cell r="R215" t="str">
            <v>S. serw.</v>
          </cell>
        </row>
        <row r="216">
          <cell r="A216">
            <v>31</v>
          </cell>
          <cell r="C216" t="str">
            <v>Kobiet</v>
          </cell>
          <cell r="H216">
            <v>21</v>
          </cell>
          <cell r="I216">
            <v>4</v>
          </cell>
          <cell r="J216">
            <v>21</v>
          </cell>
          <cell r="K216">
            <v>2</v>
          </cell>
          <cell r="R216">
            <v>0</v>
          </cell>
          <cell r="S216" t="str">
            <v>godz.11:20</v>
          </cell>
          <cell r="X216">
            <v>31</v>
          </cell>
          <cell r="Y216" t="str">
            <v>Kobiet</v>
          </cell>
          <cell r="Z216" t="str">
            <v>R0013</v>
          </cell>
          <cell r="AA216" t="str">
            <v/>
          </cell>
          <cell r="AB216" t="str">
            <v>G0016</v>
          </cell>
          <cell r="AC216" t="str">
            <v/>
          </cell>
          <cell r="AD216" t="str">
            <v>R0013</v>
          </cell>
          <cell r="AE216" t="str">
            <v/>
          </cell>
          <cell r="AF216" t="str">
            <v>21:4,21:2</v>
          </cell>
          <cell r="AG216" t="str">
            <v>4:21,2:21</v>
          </cell>
          <cell r="AH216" t="str">
            <v/>
          </cell>
          <cell r="AI216">
            <v>21</v>
          </cell>
          <cell r="AJ216">
            <v>4</v>
          </cell>
          <cell r="AK216">
            <v>21</v>
          </cell>
          <cell r="AL216">
            <v>2</v>
          </cell>
          <cell r="AM216">
            <v>0</v>
          </cell>
          <cell r="AN216">
            <v>0</v>
          </cell>
        </row>
        <row r="217">
          <cell r="A217" t="str">
            <v/>
          </cell>
          <cell r="B217" t="str">
            <v>Natalia RÓG (Nowa Dęba)</v>
          </cell>
          <cell r="H217" t="str">
            <v>R0013</v>
          </cell>
          <cell r="K217" t="str">
            <v>G0016</v>
          </cell>
          <cell r="N217" t="str">
            <v>Wiktoria GRĄDZKA (Mielec)</v>
          </cell>
        </row>
        <row r="218">
          <cell r="A218" t="str">
            <v/>
          </cell>
          <cell r="B218" t="str">
            <v/>
          </cell>
          <cell r="H218" t="str">
            <v/>
          </cell>
          <cell r="K218" t="str">
            <v/>
          </cell>
          <cell r="N218" t="str">
            <v/>
          </cell>
        </row>
        <row r="220">
          <cell r="B220" t="str">
            <v>zwycięzca(cy): 21:4,21:2</v>
          </cell>
          <cell r="K220" t="str">
            <v/>
          </cell>
        </row>
        <row r="221">
          <cell r="B221">
            <v>32</v>
          </cell>
          <cell r="C221" t="str">
            <v>dzień turnieju.</v>
          </cell>
          <cell r="I221" t="str">
            <v>Nr meczu</v>
          </cell>
          <cell r="N221" t="str">
            <v>Godz.</v>
          </cell>
          <cell r="R221" t="str">
            <v>S. prow.</v>
          </cell>
          <cell r="AF221" t="str">
            <v>wygrany</v>
          </cell>
          <cell r="AG221" t="str">
            <v>przegrany</v>
          </cell>
        </row>
        <row r="222">
          <cell r="B222" t="str">
            <v>Boisko</v>
          </cell>
          <cell r="C222" t="str">
            <v>Gra</v>
          </cell>
          <cell r="I222">
            <v>32</v>
          </cell>
          <cell r="N222" t="str">
            <v>rozp.</v>
          </cell>
          <cell r="P222" t="str">
            <v>zak.</v>
          </cell>
          <cell r="R222" t="str">
            <v>S. serw.</v>
          </cell>
        </row>
        <row r="223">
          <cell r="A223">
            <v>32</v>
          </cell>
          <cell r="C223" t="str">
            <v>Kobiet</v>
          </cell>
          <cell r="H223">
            <v>17</v>
          </cell>
          <cell r="I223">
            <v>21</v>
          </cell>
          <cell r="J223">
            <v>11</v>
          </cell>
          <cell r="K223">
            <v>21</v>
          </cell>
          <cell r="R223">
            <v>0</v>
          </cell>
          <cell r="S223" t="str">
            <v>godz.11:20</v>
          </cell>
          <cell r="X223">
            <v>32</v>
          </cell>
          <cell r="Y223" t="str">
            <v>Kobiet</v>
          </cell>
          <cell r="Z223" t="str">
            <v>N0005</v>
          </cell>
          <cell r="AA223" t="str">
            <v/>
          </cell>
          <cell r="AB223" t="str">
            <v>D0008</v>
          </cell>
          <cell r="AC223" t="str">
            <v/>
          </cell>
          <cell r="AD223" t="str">
            <v>D0008</v>
          </cell>
          <cell r="AE223" t="str">
            <v/>
          </cell>
          <cell r="AF223" t="str">
            <v>21:17,21:11</v>
          </cell>
          <cell r="AG223" t="str">
            <v>17:21,11:21</v>
          </cell>
          <cell r="AH223" t="str">
            <v/>
          </cell>
          <cell r="AI223">
            <v>17</v>
          </cell>
          <cell r="AJ223">
            <v>21</v>
          </cell>
          <cell r="AK223">
            <v>11</v>
          </cell>
          <cell r="AL223">
            <v>21</v>
          </cell>
          <cell r="AM223">
            <v>0</v>
          </cell>
          <cell r="AN223">
            <v>0</v>
          </cell>
        </row>
        <row r="224">
          <cell r="A224" t="str">
            <v/>
          </cell>
          <cell r="B224" t="str">
            <v>Izabela NOWAK (Mielec)</v>
          </cell>
          <cell r="H224" t="str">
            <v>N0005</v>
          </cell>
          <cell r="K224" t="str">
            <v>D0008</v>
          </cell>
          <cell r="N224" t="str">
            <v>Patrycja DOMAŃSKA (Rzeszów)</v>
          </cell>
        </row>
        <row r="225">
          <cell r="A225" t="str">
            <v/>
          </cell>
          <cell r="B225" t="str">
            <v/>
          </cell>
          <cell r="H225" t="str">
            <v/>
          </cell>
          <cell r="K225" t="str">
            <v/>
          </cell>
          <cell r="N225" t="str">
            <v/>
          </cell>
        </row>
        <row r="227">
          <cell r="B227" t="str">
            <v/>
          </cell>
          <cell r="K227" t="str">
            <v>zwycięzca(cy): 21:17,21:11</v>
          </cell>
        </row>
        <row r="228">
          <cell r="B228">
            <v>33</v>
          </cell>
          <cell r="C228" t="str">
            <v>dzień turnieju.</v>
          </cell>
          <cell r="I228" t="str">
            <v>Nr meczu</v>
          </cell>
          <cell r="N228" t="str">
            <v>Godz.</v>
          </cell>
          <cell r="R228" t="str">
            <v>S. prow.</v>
          </cell>
          <cell r="AF228" t="str">
            <v>wygrany</v>
          </cell>
          <cell r="AG228" t="str">
            <v>przegrany</v>
          </cell>
        </row>
        <row r="229">
          <cell r="B229" t="str">
            <v>Boisko</v>
          </cell>
          <cell r="C229" t="str">
            <v>Gra</v>
          </cell>
          <cell r="I229">
            <v>33</v>
          </cell>
          <cell r="N229" t="str">
            <v>rozp.</v>
          </cell>
          <cell r="P229" t="str">
            <v>zak.</v>
          </cell>
          <cell r="R229" t="str">
            <v>S. serw.</v>
          </cell>
        </row>
        <row r="230">
          <cell r="A230">
            <v>33</v>
          </cell>
          <cell r="C230" t="str">
            <v>Kobiet</v>
          </cell>
          <cell r="H230">
            <v>17</v>
          </cell>
          <cell r="I230">
            <v>21</v>
          </cell>
          <cell r="J230">
            <v>11</v>
          </cell>
          <cell r="K230">
            <v>21</v>
          </cell>
          <cell r="R230">
            <v>0</v>
          </cell>
          <cell r="S230" t="str">
            <v>godz.11:40</v>
          </cell>
          <cell r="X230">
            <v>33</v>
          </cell>
          <cell r="Y230" t="str">
            <v>Kobiet</v>
          </cell>
          <cell r="Z230" t="str">
            <v>M0027</v>
          </cell>
          <cell r="AA230" t="str">
            <v/>
          </cell>
          <cell r="AB230" t="str">
            <v>R0013</v>
          </cell>
          <cell r="AC230" t="str">
            <v/>
          </cell>
          <cell r="AD230" t="str">
            <v>R0013</v>
          </cell>
          <cell r="AE230" t="str">
            <v/>
          </cell>
          <cell r="AF230" t="str">
            <v>21:17,21:11</v>
          </cell>
          <cell r="AG230" t="str">
            <v>17:21,11:21</v>
          </cell>
          <cell r="AH230" t="str">
            <v/>
          </cell>
          <cell r="AI230">
            <v>17</v>
          </cell>
          <cell r="AJ230">
            <v>21</v>
          </cell>
          <cell r="AK230">
            <v>11</v>
          </cell>
          <cell r="AL230">
            <v>21</v>
          </cell>
          <cell r="AM230">
            <v>0</v>
          </cell>
          <cell r="AN230">
            <v>0</v>
          </cell>
        </row>
        <row r="231">
          <cell r="A231" t="str">
            <v/>
          </cell>
          <cell r="B231" t="str">
            <v>Beata MYCEK (Nowa Dęba)</v>
          </cell>
          <cell r="H231" t="str">
            <v>M0027</v>
          </cell>
          <cell r="K231" t="str">
            <v>R0013</v>
          </cell>
          <cell r="N231" t="str">
            <v>Natalia RÓG (Nowa Dęba)</v>
          </cell>
        </row>
        <row r="232">
          <cell r="A232" t="str">
            <v/>
          </cell>
          <cell r="B232" t="str">
            <v/>
          </cell>
          <cell r="H232" t="str">
            <v/>
          </cell>
          <cell r="K232" t="str">
            <v/>
          </cell>
          <cell r="N232" t="str">
            <v/>
          </cell>
        </row>
        <row r="234">
          <cell r="B234" t="str">
            <v/>
          </cell>
          <cell r="K234" t="str">
            <v>zwycięzca(cy): 21:17,21:11</v>
          </cell>
        </row>
        <row r="235">
          <cell r="B235">
            <v>34</v>
          </cell>
          <cell r="C235" t="str">
            <v>dzień turnieju.</v>
          </cell>
          <cell r="I235" t="str">
            <v>Nr meczu</v>
          </cell>
          <cell r="N235" t="str">
            <v>Godz.</v>
          </cell>
          <cell r="R235" t="str">
            <v>S. prow.</v>
          </cell>
          <cell r="AF235" t="str">
            <v>wygrany</v>
          </cell>
          <cell r="AG235" t="str">
            <v>przegrany</v>
          </cell>
        </row>
        <row r="236">
          <cell r="B236" t="str">
            <v>Boisko</v>
          </cell>
          <cell r="C236" t="str">
            <v>Gra</v>
          </cell>
          <cell r="I236">
            <v>34</v>
          </cell>
          <cell r="N236" t="str">
            <v>rozp.</v>
          </cell>
          <cell r="P236" t="str">
            <v>zak.</v>
          </cell>
          <cell r="R236" t="str">
            <v>S. serw.</v>
          </cell>
        </row>
        <row r="237">
          <cell r="A237">
            <v>34</v>
          </cell>
          <cell r="C237" t="str">
            <v>Old Boys</v>
          </cell>
          <cell r="H237">
            <v>16</v>
          </cell>
          <cell r="I237">
            <v>21</v>
          </cell>
          <cell r="J237">
            <v>21</v>
          </cell>
          <cell r="K237">
            <v>16</v>
          </cell>
          <cell r="L237">
            <v>19</v>
          </cell>
          <cell r="M237">
            <v>21</v>
          </cell>
          <cell r="R237">
            <v>0</v>
          </cell>
          <cell r="S237" t="str">
            <v>godz.11:40</v>
          </cell>
          <cell r="X237">
            <v>34</v>
          </cell>
          <cell r="Y237" t="str">
            <v>Old Boys</v>
          </cell>
          <cell r="Z237" t="str">
            <v>K0003</v>
          </cell>
          <cell r="AA237" t="str">
            <v/>
          </cell>
          <cell r="AB237" t="str">
            <v>K0040</v>
          </cell>
          <cell r="AC237" t="str">
            <v/>
          </cell>
          <cell r="AD237" t="str">
            <v>K0040</v>
          </cell>
          <cell r="AE237" t="str">
            <v/>
          </cell>
          <cell r="AF237" t="str">
            <v>21:16,16:21,21:19</v>
          </cell>
          <cell r="AG237" t="str">
            <v>16:21,21:16,19:21</v>
          </cell>
          <cell r="AH237" t="str">
            <v/>
          </cell>
          <cell r="AI237">
            <v>16</v>
          </cell>
          <cell r="AJ237">
            <v>21</v>
          </cell>
          <cell r="AK237">
            <v>21</v>
          </cell>
          <cell r="AL237">
            <v>16</v>
          </cell>
          <cell r="AM237">
            <v>19</v>
          </cell>
          <cell r="AN237">
            <v>21</v>
          </cell>
        </row>
        <row r="238">
          <cell r="A238" t="str">
            <v/>
          </cell>
          <cell r="B238" t="str">
            <v>Robert KARNASIEWICZ (Mielec)</v>
          </cell>
          <cell r="H238" t="str">
            <v>K0003</v>
          </cell>
          <cell r="K238" t="str">
            <v>K0040</v>
          </cell>
          <cell r="N238" t="str">
            <v>Władysław KRUK (Ropczyce)</v>
          </cell>
        </row>
        <row r="239">
          <cell r="A239" t="str">
            <v/>
          </cell>
          <cell r="B239" t="str">
            <v/>
          </cell>
          <cell r="H239" t="str">
            <v/>
          </cell>
          <cell r="K239" t="str">
            <v/>
          </cell>
          <cell r="N239" t="str">
            <v/>
          </cell>
        </row>
        <row r="241">
          <cell r="B241" t="str">
            <v/>
          </cell>
          <cell r="K241" t="str">
            <v>zwycięzca(cy): 21:16,16:21,21:19</v>
          </cell>
        </row>
        <row r="242">
          <cell r="B242">
            <v>35</v>
          </cell>
          <cell r="C242" t="str">
            <v>dzień turnieju.</v>
          </cell>
          <cell r="I242" t="str">
            <v>Nr meczu</v>
          </cell>
          <cell r="N242" t="str">
            <v>Godz.</v>
          </cell>
          <cell r="R242" t="str">
            <v>S. prow.</v>
          </cell>
          <cell r="AF242" t="str">
            <v>wygrany</v>
          </cell>
          <cell r="AG242" t="str">
            <v>przegrany</v>
          </cell>
        </row>
        <row r="243">
          <cell r="B243" t="str">
            <v>Boisko</v>
          </cell>
          <cell r="C243" t="str">
            <v>Gra</v>
          </cell>
          <cell r="I243">
            <v>35</v>
          </cell>
          <cell r="N243" t="str">
            <v>rozp.</v>
          </cell>
          <cell r="P243" t="str">
            <v>zak.</v>
          </cell>
          <cell r="R243" t="str">
            <v>S. serw.</v>
          </cell>
        </row>
        <row r="244">
          <cell r="A244">
            <v>35</v>
          </cell>
          <cell r="C244" t="str">
            <v>Old Boys</v>
          </cell>
          <cell r="H244">
            <v>21</v>
          </cell>
          <cell r="I244">
            <v>13</v>
          </cell>
          <cell r="J244">
            <v>21</v>
          </cell>
          <cell r="K244">
            <v>7</v>
          </cell>
          <cell r="R244">
            <v>0</v>
          </cell>
          <cell r="S244" t="str">
            <v>godz.11:40</v>
          </cell>
          <cell r="X244">
            <v>35</v>
          </cell>
          <cell r="Y244" t="str">
            <v>Old Boys</v>
          </cell>
          <cell r="Z244" t="str">
            <v>M0008</v>
          </cell>
          <cell r="AA244" t="str">
            <v/>
          </cell>
          <cell r="AB244" t="str">
            <v>M0028</v>
          </cell>
          <cell r="AC244" t="str">
            <v/>
          </cell>
          <cell r="AD244" t="str">
            <v>M0008</v>
          </cell>
          <cell r="AE244" t="str">
            <v/>
          </cell>
          <cell r="AF244" t="str">
            <v>21:13,21:7</v>
          </cell>
          <cell r="AG244" t="str">
            <v>13:21,7:21</v>
          </cell>
          <cell r="AH244" t="str">
            <v/>
          </cell>
          <cell r="AI244">
            <v>21</v>
          </cell>
          <cell r="AJ244">
            <v>13</v>
          </cell>
          <cell r="AK244">
            <v>21</v>
          </cell>
          <cell r="AL244">
            <v>7</v>
          </cell>
          <cell r="AM244">
            <v>0</v>
          </cell>
          <cell r="AN244">
            <v>0</v>
          </cell>
        </row>
        <row r="245">
          <cell r="A245" t="str">
            <v/>
          </cell>
          <cell r="B245" t="str">
            <v>Tadeusz MICHALIK (Tarnów)</v>
          </cell>
          <cell r="H245" t="str">
            <v>M0008</v>
          </cell>
          <cell r="K245" t="str">
            <v>M0028</v>
          </cell>
          <cell r="N245" t="str">
            <v>Kazimierz MOSKAL (Ropczyce)</v>
          </cell>
        </row>
        <row r="246">
          <cell r="A246" t="str">
            <v/>
          </cell>
          <cell r="B246" t="str">
            <v/>
          </cell>
          <cell r="H246" t="str">
            <v/>
          </cell>
          <cell r="K246" t="str">
            <v/>
          </cell>
          <cell r="N246" t="str">
            <v/>
          </cell>
        </row>
        <row r="248">
          <cell r="B248" t="str">
            <v>zwycięzca(cy): 21:13,21:7</v>
          </cell>
          <cell r="K248" t="str">
            <v/>
          </cell>
        </row>
        <row r="249">
          <cell r="B249">
            <v>36</v>
          </cell>
          <cell r="C249" t="str">
            <v>dzień turnieju.</v>
          </cell>
          <cell r="I249" t="str">
            <v>Nr meczu</v>
          </cell>
          <cell r="N249" t="str">
            <v>Godz.</v>
          </cell>
          <cell r="R249" t="str">
            <v>S. prow.</v>
          </cell>
          <cell r="AF249" t="str">
            <v>wygrany</v>
          </cell>
          <cell r="AG249" t="str">
            <v>przegrany</v>
          </cell>
        </row>
        <row r="250">
          <cell r="B250" t="str">
            <v>Boisko</v>
          </cell>
          <cell r="C250" t="str">
            <v>Gra</v>
          </cell>
          <cell r="I250">
            <v>36</v>
          </cell>
          <cell r="N250" t="str">
            <v>rozp.</v>
          </cell>
          <cell r="P250" t="str">
            <v>zak.</v>
          </cell>
          <cell r="R250" t="str">
            <v>S. serw.</v>
          </cell>
        </row>
        <row r="251">
          <cell r="A251">
            <v>36</v>
          </cell>
          <cell r="C251" t="str">
            <v>Old Boys</v>
          </cell>
          <cell r="H251">
            <v>21</v>
          </cell>
          <cell r="I251">
            <v>15</v>
          </cell>
          <cell r="J251">
            <v>21</v>
          </cell>
          <cell r="K251">
            <v>12</v>
          </cell>
          <cell r="R251">
            <v>0</v>
          </cell>
          <cell r="S251" t="str">
            <v>godz.11:40</v>
          </cell>
          <cell r="X251">
            <v>36</v>
          </cell>
          <cell r="Y251" t="str">
            <v>Old Boys</v>
          </cell>
          <cell r="Z251" t="str">
            <v>B0009</v>
          </cell>
          <cell r="AA251" t="str">
            <v/>
          </cell>
          <cell r="AB251" t="str">
            <v>M0008</v>
          </cell>
          <cell r="AC251" t="str">
            <v/>
          </cell>
          <cell r="AD251" t="str">
            <v>B0009</v>
          </cell>
          <cell r="AE251" t="str">
            <v/>
          </cell>
          <cell r="AF251" t="str">
            <v>21:15,21:12</v>
          </cell>
          <cell r="AG251" t="str">
            <v>15:21,12:21</v>
          </cell>
          <cell r="AH251" t="str">
            <v/>
          </cell>
          <cell r="AI251">
            <v>21</v>
          </cell>
          <cell r="AJ251">
            <v>15</v>
          </cell>
          <cell r="AK251">
            <v>21</v>
          </cell>
          <cell r="AL251">
            <v>12</v>
          </cell>
          <cell r="AM251">
            <v>0</v>
          </cell>
          <cell r="AN251">
            <v>0</v>
          </cell>
        </row>
        <row r="252">
          <cell r="A252" t="str">
            <v/>
          </cell>
          <cell r="B252" t="str">
            <v>Adam BUNIO (Nowa Dęba)</v>
          </cell>
          <cell r="H252" t="str">
            <v>B0009</v>
          </cell>
          <cell r="K252" t="str">
            <v>M0008</v>
          </cell>
          <cell r="N252" t="str">
            <v>Tadeusz MICHALIK (Tarnów)</v>
          </cell>
        </row>
        <row r="253">
          <cell r="A253" t="str">
            <v/>
          </cell>
          <cell r="B253" t="str">
            <v/>
          </cell>
          <cell r="H253" t="str">
            <v/>
          </cell>
          <cell r="K253" t="str">
            <v/>
          </cell>
          <cell r="N253" t="str">
            <v/>
          </cell>
        </row>
        <row r="255">
          <cell r="B255" t="str">
            <v>zwycięzca(cy): 21:15,21:12</v>
          </cell>
          <cell r="K255" t="str">
            <v/>
          </cell>
        </row>
        <row r="256">
          <cell r="B256">
            <v>37</v>
          </cell>
          <cell r="C256" t="str">
            <v>dzień turnieju.</v>
          </cell>
          <cell r="I256" t="str">
            <v>Nr meczu</v>
          </cell>
          <cell r="N256" t="str">
            <v>Godz.</v>
          </cell>
          <cell r="R256" t="str">
            <v>S. prow.</v>
          </cell>
          <cell r="AF256" t="str">
            <v>wygrany</v>
          </cell>
          <cell r="AG256" t="str">
            <v>przegrany</v>
          </cell>
        </row>
        <row r="257">
          <cell r="B257" t="str">
            <v>Boisko</v>
          </cell>
          <cell r="C257" t="str">
            <v>Gra</v>
          </cell>
          <cell r="I257">
            <v>37</v>
          </cell>
          <cell r="N257" t="str">
            <v>rozp.</v>
          </cell>
          <cell r="P257" t="str">
            <v>zak.</v>
          </cell>
          <cell r="R257" t="str">
            <v>S. serw.</v>
          </cell>
        </row>
        <row r="258">
          <cell r="A258">
            <v>37</v>
          </cell>
          <cell r="C258" t="str">
            <v>Old Boys</v>
          </cell>
          <cell r="H258">
            <v>21</v>
          </cell>
          <cell r="I258">
            <v>17</v>
          </cell>
          <cell r="J258">
            <v>21</v>
          </cell>
          <cell r="K258">
            <v>13</v>
          </cell>
          <cell r="R258">
            <v>0</v>
          </cell>
          <cell r="S258" t="str">
            <v>godz.12:00</v>
          </cell>
          <cell r="X258">
            <v>37</v>
          </cell>
          <cell r="Y258" t="str">
            <v>Old Boys</v>
          </cell>
          <cell r="Z258" t="str">
            <v>M0028</v>
          </cell>
          <cell r="AA258" t="str">
            <v/>
          </cell>
          <cell r="AB258" t="str">
            <v>K0040</v>
          </cell>
          <cell r="AC258" t="str">
            <v/>
          </cell>
          <cell r="AD258" t="str">
            <v>M0028</v>
          </cell>
          <cell r="AE258" t="str">
            <v/>
          </cell>
          <cell r="AF258" t="str">
            <v>21:17,21:13</v>
          </cell>
          <cell r="AG258" t="str">
            <v>17:21,13:21</v>
          </cell>
          <cell r="AH258" t="str">
            <v/>
          </cell>
          <cell r="AI258">
            <v>21</v>
          </cell>
          <cell r="AJ258">
            <v>17</v>
          </cell>
          <cell r="AK258">
            <v>21</v>
          </cell>
          <cell r="AL258">
            <v>13</v>
          </cell>
          <cell r="AM258">
            <v>0</v>
          </cell>
          <cell r="AN258">
            <v>0</v>
          </cell>
        </row>
        <row r="259">
          <cell r="A259" t="str">
            <v/>
          </cell>
          <cell r="B259" t="str">
            <v>Kazimierz MOSKAL (Ropczyce)</v>
          </cell>
          <cell r="H259" t="str">
            <v>M0028</v>
          </cell>
          <cell r="K259" t="str">
            <v>K0040</v>
          </cell>
          <cell r="N259" t="str">
            <v>Władysław KRUK (Ropczyce)</v>
          </cell>
        </row>
        <row r="260">
          <cell r="A260" t="str">
            <v/>
          </cell>
          <cell r="B260" t="str">
            <v/>
          </cell>
          <cell r="H260" t="str">
            <v/>
          </cell>
          <cell r="K260" t="str">
            <v/>
          </cell>
          <cell r="N260" t="str">
            <v/>
          </cell>
        </row>
        <row r="262">
          <cell r="B262" t="str">
            <v>zwycięzca(cy): 21:17,21:13</v>
          </cell>
          <cell r="K262" t="str">
            <v/>
          </cell>
        </row>
        <row r="263">
          <cell r="B263">
            <v>38</v>
          </cell>
          <cell r="C263" t="str">
            <v>dzień turnieju.</v>
          </cell>
          <cell r="I263" t="str">
            <v>Nr meczu</v>
          </cell>
          <cell r="N263" t="str">
            <v>Godz.</v>
          </cell>
          <cell r="R263" t="str">
            <v>S. prow.</v>
          </cell>
          <cell r="AF263" t="str">
            <v>wygrany</v>
          </cell>
          <cell r="AG263" t="str">
            <v>przegrany</v>
          </cell>
        </row>
        <row r="264">
          <cell r="B264" t="str">
            <v>Boisko</v>
          </cell>
          <cell r="C264" t="str">
            <v>Gra</v>
          </cell>
          <cell r="I264">
            <v>38</v>
          </cell>
          <cell r="N264" t="str">
            <v>rozp.</v>
          </cell>
          <cell r="P264" t="str">
            <v>zak.</v>
          </cell>
          <cell r="R264" t="str">
            <v>S. serw.</v>
          </cell>
        </row>
        <row r="265">
          <cell r="A265">
            <v>38</v>
          </cell>
          <cell r="C265" t="str">
            <v>Old Boys</v>
          </cell>
          <cell r="H265">
            <v>21</v>
          </cell>
          <cell r="I265">
            <v>15</v>
          </cell>
          <cell r="J265">
            <v>21</v>
          </cell>
          <cell r="K265">
            <v>16</v>
          </cell>
          <cell r="R265">
            <v>0</v>
          </cell>
          <cell r="S265" t="str">
            <v>godz.12:00</v>
          </cell>
          <cell r="X265">
            <v>38</v>
          </cell>
          <cell r="Y265" t="str">
            <v>Old Boys</v>
          </cell>
          <cell r="Z265" t="str">
            <v>M0028</v>
          </cell>
          <cell r="AA265" t="str">
            <v/>
          </cell>
          <cell r="AB265" t="str">
            <v>K0003</v>
          </cell>
          <cell r="AC265" t="str">
            <v/>
          </cell>
          <cell r="AD265" t="str">
            <v>M0028</v>
          </cell>
          <cell r="AE265" t="str">
            <v/>
          </cell>
          <cell r="AF265" t="str">
            <v>21:15,21:16</v>
          </cell>
          <cell r="AG265" t="str">
            <v>15:21,16:21</v>
          </cell>
          <cell r="AH265" t="str">
            <v/>
          </cell>
          <cell r="AI265">
            <v>21</v>
          </cell>
          <cell r="AJ265">
            <v>15</v>
          </cell>
          <cell r="AK265">
            <v>21</v>
          </cell>
          <cell r="AL265">
            <v>16</v>
          </cell>
          <cell r="AM265">
            <v>0</v>
          </cell>
          <cell r="AN265">
            <v>0</v>
          </cell>
        </row>
        <row r="266">
          <cell r="A266" t="str">
            <v/>
          </cell>
          <cell r="B266" t="str">
            <v>Kazimierz MOSKAL (Ropczyce)</v>
          </cell>
          <cell r="H266" t="str">
            <v>M0028</v>
          </cell>
          <cell r="K266" t="str">
            <v>K0003</v>
          </cell>
          <cell r="N266" t="str">
            <v>Robert KARNASIEWICZ (Mielec)</v>
          </cell>
        </row>
        <row r="267">
          <cell r="A267" t="str">
            <v/>
          </cell>
          <cell r="B267" t="str">
            <v/>
          </cell>
          <cell r="H267" t="str">
            <v/>
          </cell>
          <cell r="K267" t="str">
            <v/>
          </cell>
          <cell r="N267" t="str">
            <v/>
          </cell>
        </row>
        <row r="269">
          <cell r="B269" t="str">
            <v>zwycięzca(cy): 21:15,21:16</v>
          </cell>
          <cell r="K269" t="str">
            <v/>
          </cell>
        </row>
        <row r="270">
          <cell r="B270">
            <v>39</v>
          </cell>
          <cell r="C270" t="str">
            <v>dzień turnieju.</v>
          </cell>
          <cell r="I270" t="str">
            <v>Nr meczu</v>
          </cell>
          <cell r="N270" t="str">
            <v>Godz.</v>
          </cell>
          <cell r="R270" t="str">
            <v>S. prow.</v>
          </cell>
          <cell r="AF270" t="str">
            <v>wygrany</v>
          </cell>
          <cell r="AG270" t="str">
            <v>przegrany</v>
          </cell>
        </row>
        <row r="271">
          <cell r="B271" t="str">
            <v>Boisko</v>
          </cell>
          <cell r="C271" t="str">
            <v>Gra</v>
          </cell>
          <cell r="I271">
            <v>39</v>
          </cell>
          <cell r="N271" t="str">
            <v>rozp.</v>
          </cell>
          <cell r="P271" t="str">
            <v>zak.</v>
          </cell>
          <cell r="R271" t="str">
            <v>S. serw.</v>
          </cell>
        </row>
        <row r="272">
          <cell r="A272">
            <v>39</v>
          </cell>
          <cell r="C272" t="str">
            <v>Old Boys</v>
          </cell>
          <cell r="H272">
            <v>6</v>
          </cell>
          <cell r="I272">
            <v>21</v>
          </cell>
          <cell r="J272">
            <v>16</v>
          </cell>
          <cell r="K272">
            <v>21</v>
          </cell>
          <cell r="R272">
            <v>0</v>
          </cell>
          <cell r="S272" t="str">
            <v>godz.12:00</v>
          </cell>
          <cell r="X272">
            <v>39</v>
          </cell>
          <cell r="Y272" t="str">
            <v>Old Boys</v>
          </cell>
          <cell r="Z272" t="str">
            <v>K0040</v>
          </cell>
          <cell r="AA272" t="str">
            <v/>
          </cell>
          <cell r="AB272" t="str">
            <v>B0009</v>
          </cell>
          <cell r="AC272" t="str">
            <v/>
          </cell>
          <cell r="AD272" t="str">
            <v>B0009</v>
          </cell>
          <cell r="AE272" t="str">
            <v/>
          </cell>
          <cell r="AF272" t="str">
            <v>21:6,21:16</v>
          </cell>
          <cell r="AG272" t="str">
            <v>6:21,16:21</v>
          </cell>
          <cell r="AH272" t="str">
            <v/>
          </cell>
          <cell r="AI272">
            <v>6</v>
          </cell>
          <cell r="AJ272">
            <v>21</v>
          </cell>
          <cell r="AK272">
            <v>16</v>
          </cell>
          <cell r="AL272">
            <v>21</v>
          </cell>
          <cell r="AM272">
            <v>0</v>
          </cell>
          <cell r="AN272">
            <v>0</v>
          </cell>
        </row>
        <row r="273">
          <cell r="A273" t="str">
            <v/>
          </cell>
          <cell r="B273" t="str">
            <v>Władysław KRUK (Ropczyce)</v>
          </cell>
          <cell r="H273" t="str">
            <v>K0040</v>
          </cell>
          <cell r="K273" t="str">
            <v>B0009</v>
          </cell>
          <cell r="N273" t="str">
            <v>Adam BUNIO (Nowa Dęba)</v>
          </cell>
        </row>
        <row r="274">
          <cell r="A274" t="str">
            <v/>
          </cell>
          <cell r="B274" t="str">
            <v/>
          </cell>
          <cell r="H274" t="str">
            <v/>
          </cell>
          <cell r="K274" t="str">
            <v/>
          </cell>
          <cell r="N274" t="str">
            <v/>
          </cell>
        </row>
        <row r="276">
          <cell r="B276" t="str">
            <v/>
          </cell>
          <cell r="K276" t="str">
            <v>zwycięzca(cy): 21:6,21:16</v>
          </cell>
        </row>
        <row r="277">
          <cell r="B277">
            <v>40</v>
          </cell>
          <cell r="C277" t="str">
            <v>dzień turnieju.</v>
          </cell>
          <cell r="I277" t="str">
            <v>Nr meczu</v>
          </cell>
          <cell r="N277" t="str">
            <v>Godz.</v>
          </cell>
          <cell r="R277" t="str">
            <v>S. prow.</v>
          </cell>
          <cell r="AF277" t="str">
            <v>wygrany</v>
          </cell>
          <cell r="AG277" t="str">
            <v>przegrany</v>
          </cell>
        </row>
        <row r="278">
          <cell r="B278" t="str">
            <v>Boisko</v>
          </cell>
          <cell r="C278" t="str">
            <v>Gra</v>
          </cell>
          <cell r="I278">
            <v>40</v>
          </cell>
          <cell r="N278" t="str">
            <v>rozp.</v>
          </cell>
          <cell r="P278" t="str">
            <v>zak.</v>
          </cell>
          <cell r="R278" t="str">
            <v>S. serw.</v>
          </cell>
        </row>
        <row r="279">
          <cell r="A279">
            <v>40</v>
          </cell>
          <cell r="C279" t="str">
            <v>Old Boys</v>
          </cell>
          <cell r="H279">
            <v>7</v>
          </cell>
          <cell r="I279">
            <v>21</v>
          </cell>
          <cell r="J279">
            <v>6</v>
          </cell>
          <cell r="K279">
            <v>21</v>
          </cell>
          <cell r="R279">
            <v>0</v>
          </cell>
          <cell r="S279" t="str">
            <v>godz.12:00</v>
          </cell>
          <cell r="X279">
            <v>40</v>
          </cell>
          <cell r="Y279" t="str">
            <v>Old Boys</v>
          </cell>
          <cell r="Z279" t="str">
            <v>M0028</v>
          </cell>
          <cell r="AA279" t="str">
            <v/>
          </cell>
          <cell r="AB279" t="str">
            <v>B0009</v>
          </cell>
          <cell r="AC279" t="str">
            <v/>
          </cell>
          <cell r="AD279" t="str">
            <v>B0009</v>
          </cell>
          <cell r="AE279" t="str">
            <v/>
          </cell>
          <cell r="AF279" t="str">
            <v>21:7,21:6</v>
          </cell>
          <cell r="AG279" t="str">
            <v>7:21,6:21</v>
          </cell>
          <cell r="AH279" t="str">
            <v/>
          </cell>
          <cell r="AI279">
            <v>7</v>
          </cell>
          <cell r="AJ279">
            <v>21</v>
          </cell>
          <cell r="AK279">
            <v>6</v>
          </cell>
          <cell r="AL279">
            <v>21</v>
          </cell>
          <cell r="AM279">
            <v>0</v>
          </cell>
          <cell r="AN279">
            <v>0</v>
          </cell>
        </row>
        <row r="280">
          <cell r="A280" t="str">
            <v/>
          </cell>
          <cell r="B280" t="str">
            <v>Kazimierz MOSKAL (Ropczyce)</v>
          </cell>
          <cell r="H280" t="str">
            <v>M0028</v>
          </cell>
          <cell r="K280" t="str">
            <v>B0009</v>
          </cell>
          <cell r="N280" t="str">
            <v>Adam BUNIO (Nowa Dęba)</v>
          </cell>
        </row>
        <row r="281">
          <cell r="A281" t="str">
            <v/>
          </cell>
          <cell r="B281" t="str">
            <v/>
          </cell>
          <cell r="H281" t="str">
            <v/>
          </cell>
          <cell r="K281" t="str">
            <v/>
          </cell>
          <cell r="N281" t="str">
            <v/>
          </cell>
        </row>
        <row r="283">
          <cell r="B283" t="str">
            <v/>
          </cell>
          <cell r="K283" t="str">
            <v>zwycięzca(cy): 21:7,21:6</v>
          </cell>
        </row>
        <row r="284">
          <cell r="B284">
            <v>41</v>
          </cell>
          <cell r="C284" t="str">
            <v>dzień turnieju.</v>
          </cell>
          <cell r="I284" t="str">
            <v>Nr meczu</v>
          </cell>
          <cell r="N284" t="str">
            <v>Godz.</v>
          </cell>
          <cell r="R284" t="str">
            <v>S. prow.</v>
          </cell>
          <cell r="AF284" t="str">
            <v>wygrany</v>
          </cell>
          <cell r="AG284" t="str">
            <v>przegrany</v>
          </cell>
        </row>
        <row r="285">
          <cell r="B285" t="str">
            <v>Boisko</v>
          </cell>
          <cell r="C285" t="str">
            <v>Gra</v>
          </cell>
          <cell r="I285">
            <v>41</v>
          </cell>
          <cell r="N285" t="str">
            <v>rozp.</v>
          </cell>
          <cell r="P285" t="str">
            <v>zak.</v>
          </cell>
          <cell r="R285" t="str">
            <v>S. serw.</v>
          </cell>
        </row>
        <row r="286">
          <cell r="A286">
            <v>41</v>
          </cell>
          <cell r="C286" t="str">
            <v>Old Boys</v>
          </cell>
          <cell r="H286">
            <v>17</v>
          </cell>
          <cell r="I286">
            <v>21</v>
          </cell>
          <cell r="J286">
            <v>15</v>
          </cell>
          <cell r="K286">
            <v>21</v>
          </cell>
          <cell r="R286">
            <v>0</v>
          </cell>
          <cell r="S286" t="str">
            <v>godz.12:20</v>
          </cell>
          <cell r="X286">
            <v>41</v>
          </cell>
          <cell r="Y286" t="str">
            <v>Old Boys</v>
          </cell>
          <cell r="Z286" t="str">
            <v>K0003</v>
          </cell>
          <cell r="AA286" t="str">
            <v/>
          </cell>
          <cell r="AB286" t="str">
            <v>M0008</v>
          </cell>
          <cell r="AC286" t="str">
            <v/>
          </cell>
          <cell r="AD286" t="str">
            <v>M0008</v>
          </cell>
          <cell r="AE286" t="str">
            <v/>
          </cell>
          <cell r="AF286" t="str">
            <v>21:17,21:15</v>
          </cell>
          <cell r="AG286" t="str">
            <v>17:21,15:21</v>
          </cell>
          <cell r="AH286" t="str">
            <v/>
          </cell>
          <cell r="AI286">
            <v>17</v>
          </cell>
          <cell r="AJ286">
            <v>21</v>
          </cell>
          <cell r="AK286">
            <v>15</v>
          </cell>
          <cell r="AL286">
            <v>21</v>
          </cell>
          <cell r="AM286">
            <v>0</v>
          </cell>
          <cell r="AN286">
            <v>0</v>
          </cell>
        </row>
        <row r="287">
          <cell r="A287" t="str">
            <v/>
          </cell>
          <cell r="B287" t="str">
            <v>Robert KARNASIEWICZ (Mielec)</v>
          </cell>
          <cell r="H287" t="str">
            <v>K0003</v>
          </cell>
          <cell r="K287" t="str">
            <v>M0008</v>
          </cell>
          <cell r="N287" t="str">
            <v>Tadeusz MICHALIK (Tarnów)</v>
          </cell>
        </row>
        <row r="288">
          <cell r="A288" t="str">
            <v/>
          </cell>
          <cell r="B288" t="str">
            <v/>
          </cell>
          <cell r="H288" t="str">
            <v/>
          </cell>
          <cell r="K288" t="str">
            <v/>
          </cell>
          <cell r="N288" t="str">
            <v/>
          </cell>
        </row>
        <row r="290">
          <cell r="B290" t="str">
            <v/>
          </cell>
          <cell r="K290" t="str">
            <v>zwycięzca(cy): 21:17,21:15</v>
          </cell>
        </row>
        <row r="291">
          <cell r="B291">
            <v>42</v>
          </cell>
          <cell r="C291" t="str">
            <v>dzień turnieju.</v>
          </cell>
          <cell r="I291" t="str">
            <v>Nr meczu</v>
          </cell>
          <cell r="N291" t="str">
            <v>Godz.</v>
          </cell>
          <cell r="R291" t="str">
            <v>S. prow.</v>
          </cell>
          <cell r="AF291" t="str">
            <v>wygrany</v>
          </cell>
          <cell r="AG291" t="str">
            <v>przegrany</v>
          </cell>
        </row>
        <row r="292">
          <cell r="B292" t="str">
            <v>Boisko</v>
          </cell>
          <cell r="C292" t="str">
            <v>Gra</v>
          </cell>
          <cell r="I292">
            <v>42</v>
          </cell>
          <cell r="N292" t="str">
            <v>rozp.</v>
          </cell>
          <cell r="P292" t="str">
            <v>zak.</v>
          </cell>
          <cell r="R292" t="str">
            <v>S. serw.</v>
          </cell>
        </row>
        <row r="293">
          <cell r="A293">
            <v>42</v>
          </cell>
          <cell r="C293" t="str">
            <v>Old Boys</v>
          </cell>
          <cell r="H293">
            <v>9</v>
          </cell>
          <cell r="I293">
            <v>21</v>
          </cell>
          <cell r="J293">
            <v>23</v>
          </cell>
          <cell r="K293">
            <v>21</v>
          </cell>
          <cell r="L293">
            <v>24</v>
          </cell>
          <cell r="M293">
            <v>26</v>
          </cell>
          <cell r="R293">
            <v>0</v>
          </cell>
          <cell r="S293" t="str">
            <v>godz.12:20</v>
          </cell>
          <cell r="X293">
            <v>42</v>
          </cell>
          <cell r="Y293" t="str">
            <v>Old Boys</v>
          </cell>
          <cell r="Z293" t="str">
            <v>K0040</v>
          </cell>
          <cell r="AA293" t="str">
            <v/>
          </cell>
          <cell r="AB293" t="str">
            <v>M0008</v>
          </cell>
          <cell r="AC293" t="str">
            <v/>
          </cell>
          <cell r="AD293" t="str">
            <v>M0008</v>
          </cell>
          <cell r="AE293" t="str">
            <v/>
          </cell>
          <cell r="AF293" t="str">
            <v>21:9,21:23,26:24</v>
          </cell>
          <cell r="AG293" t="str">
            <v>9:21,23:21,24:26</v>
          </cell>
          <cell r="AH293" t="str">
            <v/>
          </cell>
          <cell r="AI293">
            <v>9</v>
          </cell>
          <cell r="AJ293">
            <v>21</v>
          </cell>
          <cell r="AK293">
            <v>23</v>
          </cell>
          <cell r="AL293">
            <v>21</v>
          </cell>
          <cell r="AM293">
            <v>24</v>
          </cell>
          <cell r="AN293">
            <v>26</v>
          </cell>
        </row>
        <row r="294">
          <cell r="A294" t="str">
            <v/>
          </cell>
          <cell r="B294" t="str">
            <v>Władysław KRUK (Ropczyce)</v>
          </cell>
          <cell r="H294" t="str">
            <v>K0040</v>
          </cell>
          <cell r="K294" t="str">
            <v>M0008</v>
          </cell>
          <cell r="N294" t="str">
            <v>Tadeusz MICHALIK (Tarnów)</v>
          </cell>
        </row>
        <row r="295">
          <cell r="A295" t="str">
            <v/>
          </cell>
          <cell r="B295" t="str">
            <v/>
          </cell>
          <cell r="H295" t="str">
            <v/>
          </cell>
          <cell r="K295" t="str">
            <v/>
          </cell>
          <cell r="N295" t="str">
            <v/>
          </cell>
        </row>
        <row r="297">
          <cell r="B297" t="str">
            <v/>
          </cell>
          <cell r="K297" t="str">
            <v>zwycięzca(cy): 21:9,21:23,26:24</v>
          </cell>
        </row>
        <row r="298">
          <cell r="B298">
            <v>43</v>
          </cell>
          <cell r="C298" t="str">
            <v>dzień turnieju.</v>
          </cell>
          <cell r="I298" t="str">
            <v>Nr meczu</v>
          </cell>
          <cell r="N298" t="str">
            <v>Godz.</v>
          </cell>
          <cell r="R298" t="str">
            <v>S. prow.</v>
          </cell>
          <cell r="AF298" t="str">
            <v>wygrany</v>
          </cell>
          <cell r="AG298" t="str">
            <v>przegrany</v>
          </cell>
        </row>
        <row r="299">
          <cell r="B299" t="str">
            <v>Boisko</v>
          </cell>
          <cell r="C299" t="str">
            <v>Gra</v>
          </cell>
          <cell r="I299">
            <v>43</v>
          </cell>
          <cell r="N299" t="str">
            <v>rozp.</v>
          </cell>
          <cell r="P299" t="str">
            <v>zak.</v>
          </cell>
          <cell r="R299" t="str">
            <v>S. serw.</v>
          </cell>
        </row>
        <row r="300">
          <cell r="A300">
            <v>43</v>
          </cell>
          <cell r="C300" t="str">
            <v>Old Boys</v>
          </cell>
          <cell r="H300">
            <v>21</v>
          </cell>
          <cell r="I300">
            <v>15</v>
          </cell>
          <cell r="J300">
            <v>21</v>
          </cell>
          <cell r="K300">
            <v>18</v>
          </cell>
          <cell r="R300">
            <v>0</v>
          </cell>
          <cell r="S300" t="str">
            <v>godz.12:20</v>
          </cell>
          <cell r="X300">
            <v>43</v>
          </cell>
          <cell r="Y300" t="str">
            <v>Old Boys</v>
          </cell>
          <cell r="Z300" t="str">
            <v>B0009</v>
          </cell>
          <cell r="AA300" t="str">
            <v/>
          </cell>
          <cell r="AB300" t="str">
            <v>K0003</v>
          </cell>
          <cell r="AC300" t="str">
            <v/>
          </cell>
          <cell r="AD300" t="str">
            <v>B0009</v>
          </cell>
          <cell r="AE300" t="str">
            <v/>
          </cell>
          <cell r="AF300" t="str">
            <v>21:15,21:18</v>
          </cell>
          <cell r="AG300" t="str">
            <v>15:21,18:21</v>
          </cell>
          <cell r="AH300" t="str">
            <v/>
          </cell>
          <cell r="AI300">
            <v>21</v>
          </cell>
          <cell r="AJ300">
            <v>15</v>
          </cell>
          <cell r="AK300">
            <v>21</v>
          </cell>
          <cell r="AL300">
            <v>18</v>
          </cell>
          <cell r="AM300">
            <v>0</v>
          </cell>
          <cell r="AN300">
            <v>0</v>
          </cell>
        </row>
        <row r="301">
          <cell r="A301" t="str">
            <v/>
          </cell>
          <cell r="B301" t="str">
            <v>Adam BUNIO (Nowa Dęba)</v>
          </cell>
          <cell r="H301" t="str">
            <v>B0009</v>
          </cell>
          <cell r="K301" t="str">
            <v>K0003</v>
          </cell>
          <cell r="N301" t="str">
            <v>Robert KARNASIEWICZ (Mielec)</v>
          </cell>
        </row>
        <row r="302">
          <cell r="A302" t="str">
            <v/>
          </cell>
          <cell r="B302" t="str">
            <v/>
          </cell>
          <cell r="H302" t="str">
            <v/>
          </cell>
          <cell r="K302" t="str">
            <v/>
          </cell>
          <cell r="N302" t="str">
            <v/>
          </cell>
        </row>
        <row r="304">
          <cell r="B304" t="str">
            <v>zwycięzca(cy): 21:15,21:18</v>
          </cell>
          <cell r="K304" t="str">
            <v/>
          </cell>
        </row>
        <row r="305">
          <cell r="B305">
            <v>44</v>
          </cell>
          <cell r="C305" t="str">
            <v>dzień turnieju.</v>
          </cell>
          <cell r="I305" t="str">
            <v>Nr meczu</v>
          </cell>
          <cell r="N305" t="str">
            <v>Godz.</v>
          </cell>
          <cell r="R305" t="str">
            <v>S. prow.</v>
          </cell>
          <cell r="AF305" t="str">
            <v>wygrany</v>
          </cell>
          <cell r="AG305" t="str">
            <v>przegrany</v>
          </cell>
        </row>
        <row r="306">
          <cell r="B306" t="str">
            <v>Boisko</v>
          </cell>
          <cell r="C306" t="str">
            <v>Gra</v>
          </cell>
          <cell r="I306">
            <v>44</v>
          </cell>
          <cell r="N306" t="str">
            <v>rozp.</v>
          </cell>
          <cell r="P306" t="str">
            <v>zak.</v>
          </cell>
          <cell r="R306" t="str">
            <v>S. serw.</v>
          </cell>
        </row>
        <row r="307">
          <cell r="A307">
            <v>44</v>
          </cell>
          <cell r="C307" t="str">
            <v>Open</v>
          </cell>
          <cell r="H307">
            <v>21</v>
          </cell>
          <cell r="I307">
            <v>18</v>
          </cell>
          <cell r="J307">
            <v>21</v>
          </cell>
          <cell r="K307">
            <v>8</v>
          </cell>
          <cell r="R307">
            <v>0</v>
          </cell>
          <cell r="S307" t="str">
            <v>godz.12:20</v>
          </cell>
          <cell r="X307">
            <v>44</v>
          </cell>
          <cell r="Y307" t="str">
            <v>Open</v>
          </cell>
          <cell r="Z307" t="str">
            <v>P0003</v>
          </cell>
          <cell r="AA307" t="str">
            <v/>
          </cell>
          <cell r="AB307" t="str">
            <v>K0014</v>
          </cell>
          <cell r="AC307" t="str">
            <v/>
          </cell>
          <cell r="AD307" t="str">
            <v>P0003</v>
          </cell>
          <cell r="AE307" t="str">
            <v/>
          </cell>
          <cell r="AF307" t="str">
            <v>21:18,21:8</v>
          </cell>
          <cell r="AG307" t="str">
            <v>18:21,8:21</v>
          </cell>
          <cell r="AH307" t="str">
            <v/>
          </cell>
          <cell r="AI307">
            <v>21</v>
          </cell>
          <cell r="AJ307">
            <v>18</v>
          </cell>
          <cell r="AK307">
            <v>21</v>
          </cell>
          <cell r="AL307">
            <v>8</v>
          </cell>
          <cell r="AM307">
            <v>0</v>
          </cell>
          <cell r="AN307">
            <v>0</v>
          </cell>
        </row>
        <row r="308">
          <cell r="A308" t="str">
            <v/>
          </cell>
          <cell r="B308" t="str">
            <v>Łukasz PIENIĄŻEK (Rzeszów)</v>
          </cell>
          <cell r="H308" t="str">
            <v>P0003</v>
          </cell>
          <cell r="K308" t="str">
            <v>K0014</v>
          </cell>
          <cell r="N308" t="str">
            <v>Zdzisław KULA  (Tarnów)</v>
          </cell>
        </row>
        <row r="309">
          <cell r="A309" t="str">
            <v/>
          </cell>
          <cell r="B309" t="str">
            <v/>
          </cell>
          <cell r="H309" t="str">
            <v/>
          </cell>
          <cell r="K309" t="str">
            <v/>
          </cell>
          <cell r="N309" t="str">
            <v/>
          </cell>
        </row>
        <row r="311">
          <cell r="B311" t="str">
            <v>zwycięzca(cy): 21:18,21:8</v>
          </cell>
          <cell r="K311" t="str">
            <v/>
          </cell>
        </row>
        <row r="312">
          <cell r="B312">
            <v>45</v>
          </cell>
          <cell r="C312" t="str">
            <v>dzień turnieju.</v>
          </cell>
          <cell r="I312" t="str">
            <v>Nr meczu</v>
          </cell>
          <cell r="N312" t="str">
            <v>Godz.</v>
          </cell>
          <cell r="R312" t="str">
            <v>S. prow.</v>
          </cell>
          <cell r="AF312" t="str">
            <v>wygrany</v>
          </cell>
          <cell r="AG312" t="str">
            <v>przegrany</v>
          </cell>
        </row>
        <row r="313">
          <cell r="B313" t="str">
            <v>Boisko</v>
          </cell>
          <cell r="C313" t="str">
            <v>Gra</v>
          </cell>
          <cell r="I313">
            <v>45</v>
          </cell>
          <cell r="N313" t="str">
            <v>rozp.</v>
          </cell>
          <cell r="P313" t="str">
            <v>zak.</v>
          </cell>
          <cell r="R313" t="str">
            <v>S. serw.</v>
          </cell>
        </row>
        <row r="314">
          <cell r="A314">
            <v>45</v>
          </cell>
          <cell r="C314" t="str">
            <v>Open</v>
          </cell>
          <cell r="H314">
            <v>21</v>
          </cell>
          <cell r="I314">
            <v>17</v>
          </cell>
          <cell r="J314">
            <v>21</v>
          </cell>
          <cell r="K314">
            <v>18</v>
          </cell>
          <cell r="R314">
            <v>0</v>
          </cell>
          <cell r="S314" t="str">
            <v>godz.12:40</v>
          </cell>
          <cell r="X314">
            <v>45</v>
          </cell>
          <cell r="Y314" t="str">
            <v>Open</v>
          </cell>
          <cell r="Z314" t="str">
            <v>M0019</v>
          </cell>
          <cell r="AA314" t="str">
            <v/>
          </cell>
          <cell r="AB314" t="str">
            <v>J0005</v>
          </cell>
          <cell r="AC314" t="str">
            <v/>
          </cell>
          <cell r="AD314" t="str">
            <v>M0019</v>
          </cell>
          <cell r="AE314" t="str">
            <v/>
          </cell>
          <cell r="AF314" t="str">
            <v>21:17,21:18</v>
          </cell>
          <cell r="AG314" t="str">
            <v>17:21,18:21</v>
          </cell>
          <cell r="AH314" t="str">
            <v/>
          </cell>
          <cell r="AI314">
            <v>21</v>
          </cell>
          <cell r="AJ314">
            <v>17</v>
          </cell>
          <cell r="AK314">
            <v>21</v>
          </cell>
          <cell r="AL314">
            <v>18</v>
          </cell>
          <cell r="AM314">
            <v>0</v>
          </cell>
          <cell r="AN314">
            <v>0</v>
          </cell>
        </row>
        <row r="315">
          <cell r="A315" t="str">
            <v/>
          </cell>
          <cell r="B315" t="str">
            <v>Grzegorz MAC  (Rzeszów)</v>
          </cell>
          <cell r="H315" t="str">
            <v>M0019</v>
          </cell>
          <cell r="K315" t="str">
            <v>J0005</v>
          </cell>
          <cell r="N315" t="str">
            <v>Tomasz JENDRYASSEK (Rzeszów)</v>
          </cell>
        </row>
        <row r="316">
          <cell r="A316" t="str">
            <v/>
          </cell>
          <cell r="B316" t="str">
            <v/>
          </cell>
          <cell r="H316" t="str">
            <v/>
          </cell>
          <cell r="K316" t="str">
            <v/>
          </cell>
          <cell r="N316" t="str">
            <v/>
          </cell>
        </row>
        <row r="318">
          <cell r="B318" t="str">
            <v>zwycięzca(cy): 21:17,21:18</v>
          </cell>
          <cell r="K318" t="str">
            <v/>
          </cell>
        </row>
        <row r="319">
          <cell r="B319">
            <v>46</v>
          </cell>
          <cell r="C319" t="str">
            <v>dzień turnieju.</v>
          </cell>
          <cell r="I319" t="str">
            <v>Nr meczu</v>
          </cell>
          <cell r="N319" t="str">
            <v>Godz.</v>
          </cell>
          <cell r="R319" t="str">
            <v>S. prow.</v>
          </cell>
          <cell r="AF319" t="str">
            <v>wygrany</v>
          </cell>
          <cell r="AG319" t="str">
            <v>przegrany</v>
          </cell>
        </row>
        <row r="320">
          <cell r="B320" t="str">
            <v>Boisko</v>
          </cell>
          <cell r="C320" t="str">
            <v>Gra</v>
          </cell>
          <cell r="I320">
            <v>46</v>
          </cell>
          <cell r="N320" t="str">
            <v>rozp.</v>
          </cell>
          <cell r="P320" t="str">
            <v>zak.</v>
          </cell>
          <cell r="R320" t="str">
            <v>S. serw.</v>
          </cell>
        </row>
        <row r="321">
          <cell r="A321">
            <v>46</v>
          </cell>
          <cell r="C321" t="str">
            <v>Open</v>
          </cell>
          <cell r="H321">
            <v>21</v>
          </cell>
          <cell r="I321">
            <v>9</v>
          </cell>
          <cell r="J321">
            <v>21</v>
          </cell>
          <cell r="K321">
            <v>10</v>
          </cell>
          <cell r="R321">
            <v>0</v>
          </cell>
          <cell r="S321" t="str">
            <v>godz.12:40</v>
          </cell>
          <cell r="X321">
            <v>46</v>
          </cell>
          <cell r="Y321" t="str">
            <v>Open</v>
          </cell>
          <cell r="Z321" t="str">
            <v>I0002</v>
          </cell>
          <cell r="AA321" t="str">
            <v/>
          </cell>
          <cell r="AB321" t="str">
            <v>G0011</v>
          </cell>
          <cell r="AC321" t="str">
            <v/>
          </cell>
          <cell r="AD321" t="str">
            <v>I0002</v>
          </cell>
          <cell r="AE321" t="str">
            <v/>
          </cell>
          <cell r="AF321" t="str">
            <v>21:9,21:10</v>
          </cell>
          <cell r="AG321" t="str">
            <v>9:21,10:21</v>
          </cell>
          <cell r="AH321" t="str">
            <v/>
          </cell>
          <cell r="AI321">
            <v>21</v>
          </cell>
          <cell r="AJ321">
            <v>9</v>
          </cell>
          <cell r="AK321">
            <v>21</v>
          </cell>
          <cell r="AL321">
            <v>10</v>
          </cell>
          <cell r="AM321">
            <v>0</v>
          </cell>
          <cell r="AN321">
            <v>0</v>
          </cell>
        </row>
        <row r="322">
          <cell r="A322" t="str">
            <v/>
          </cell>
          <cell r="B322" t="str">
            <v>Igor IWAŃSKI (Mielec)</v>
          </cell>
          <cell r="H322" t="str">
            <v>I0002</v>
          </cell>
          <cell r="K322" t="str">
            <v>G0011</v>
          </cell>
          <cell r="N322" t="str">
            <v>Jakub GERCZAK (Sanok)</v>
          </cell>
        </row>
        <row r="323">
          <cell r="A323" t="str">
            <v/>
          </cell>
          <cell r="B323" t="str">
            <v/>
          </cell>
          <cell r="H323" t="str">
            <v/>
          </cell>
          <cell r="K323" t="str">
            <v/>
          </cell>
          <cell r="N323" t="str">
            <v/>
          </cell>
        </row>
        <row r="325">
          <cell r="B325" t="str">
            <v>zwycięzca(cy): 21:9,21:10</v>
          </cell>
          <cell r="K325" t="str">
            <v/>
          </cell>
        </row>
        <row r="326">
          <cell r="B326">
            <v>47</v>
          </cell>
          <cell r="C326" t="str">
            <v>dzień turnieju.</v>
          </cell>
          <cell r="I326" t="str">
            <v>Nr meczu</v>
          </cell>
          <cell r="N326" t="str">
            <v>Godz.</v>
          </cell>
          <cell r="R326" t="str">
            <v>S. prow.</v>
          </cell>
          <cell r="AF326" t="str">
            <v>wygrany</v>
          </cell>
          <cell r="AG326" t="str">
            <v>przegrany</v>
          </cell>
        </row>
        <row r="327">
          <cell r="B327" t="str">
            <v>Boisko</v>
          </cell>
          <cell r="C327" t="str">
            <v>Gra</v>
          </cell>
          <cell r="I327">
            <v>47</v>
          </cell>
          <cell r="N327" t="str">
            <v>rozp.</v>
          </cell>
          <cell r="P327" t="str">
            <v>zak.</v>
          </cell>
          <cell r="R327" t="str">
            <v>S. serw.</v>
          </cell>
        </row>
        <row r="328">
          <cell r="A328">
            <v>47</v>
          </cell>
          <cell r="C328" t="str">
            <v>Open</v>
          </cell>
          <cell r="H328">
            <v>21</v>
          </cell>
          <cell r="I328">
            <v>12</v>
          </cell>
          <cell r="J328">
            <v>21</v>
          </cell>
          <cell r="K328">
            <v>9</v>
          </cell>
          <cell r="R328">
            <v>0</v>
          </cell>
          <cell r="S328" t="str">
            <v>godz.12:40</v>
          </cell>
          <cell r="X328">
            <v>47</v>
          </cell>
          <cell r="Y328" t="str">
            <v>Open</v>
          </cell>
          <cell r="Z328" t="str">
            <v>B0001</v>
          </cell>
          <cell r="AA328" t="str">
            <v/>
          </cell>
          <cell r="AB328" t="str">
            <v>J0001</v>
          </cell>
          <cell r="AC328" t="str">
            <v/>
          </cell>
          <cell r="AD328" t="str">
            <v>B0001</v>
          </cell>
          <cell r="AE328" t="str">
            <v/>
          </cell>
          <cell r="AF328" t="str">
            <v>21:12,21:9</v>
          </cell>
          <cell r="AG328" t="str">
            <v>12:21,9:21</v>
          </cell>
          <cell r="AH328" t="str">
            <v/>
          </cell>
          <cell r="AI328">
            <v>21</v>
          </cell>
          <cell r="AJ328">
            <v>12</v>
          </cell>
          <cell r="AK328">
            <v>21</v>
          </cell>
          <cell r="AL328">
            <v>9</v>
          </cell>
          <cell r="AM328">
            <v>0</v>
          </cell>
          <cell r="AN328">
            <v>0</v>
          </cell>
        </row>
        <row r="329">
          <cell r="A329" t="str">
            <v/>
          </cell>
          <cell r="B329" t="str">
            <v>Maciej BARAN (Rzeszów)</v>
          </cell>
          <cell r="H329" t="str">
            <v>B0001</v>
          </cell>
          <cell r="K329" t="str">
            <v>J0001</v>
          </cell>
          <cell r="N329" t="str">
            <v>Mateusz JĘDRZEJKO (Rzeszów)</v>
          </cell>
        </row>
        <row r="330">
          <cell r="A330" t="str">
            <v/>
          </cell>
          <cell r="B330" t="str">
            <v/>
          </cell>
          <cell r="H330" t="str">
            <v/>
          </cell>
          <cell r="K330" t="str">
            <v/>
          </cell>
          <cell r="N330" t="str">
            <v/>
          </cell>
        </row>
        <row r="332">
          <cell r="B332" t="str">
            <v>zwycięzca(cy): 21:12,21:9</v>
          </cell>
          <cell r="K332" t="str">
            <v/>
          </cell>
        </row>
        <row r="333">
          <cell r="B333">
            <v>48</v>
          </cell>
          <cell r="C333" t="str">
            <v>dzień turnieju.</v>
          </cell>
          <cell r="I333" t="str">
            <v>Nr meczu</v>
          </cell>
          <cell r="N333" t="str">
            <v>Godz.</v>
          </cell>
          <cell r="R333" t="str">
            <v>S. prow.</v>
          </cell>
          <cell r="AF333" t="str">
            <v>wygrany</v>
          </cell>
          <cell r="AG333" t="str">
            <v>przegrany</v>
          </cell>
        </row>
        <row r="334">
          <cell r="B334" t="str">
            <v>Boisko</v>
          </cell>
          <cell r="C334" t="str">
            <v>Gra</v>
          </cell>
          <cell r="I334">
            <v>48</v>
          </cell>
          <cell r="N334" t="str">
            <v>rozp.</v>
          </cell>
          <cell r="P334" t="str">
            <v>zak.</v>
          </cell>
          <cell r="R334" t="str">
            <v>S. serw.</v>
          </cell>
        </row>
        <row r="335">
          <cell r="A335">
            <v>48</v>
          </cell>
          <cell r="C335" t="str">
            <v>Open</v>
          </cell>
          <cell r="H335">
            <v>21</v>
          </cell>
          <cell r="I335">
            <v>17</v>
          </cell>
          <cell r="J335">
            <v>22</v>
          </cell>
          <cell r="K335">
            <v>20</v>
          </cell>
          <cell r="R335">
            <v>0</v>
          </cell>
          <cell r="S335" t="str">
            <v>godz.12:40</v>
          </cell>
          <cell r="X335">
            <v>48</v>
          </cell>
          <cell r="Y335" t="str">
            <v>Open</v>
          </cell>
          <cell r="Z335" t="str">
            <v>P0003</v>
          </cell>
          <cell r="AA335" t="str">
            <v/>
          </cell>
          <cell r="AB335" t="str">
            <v>J0005</v>
          </cell>
          <cell r="AC335" t="str">
            <v/>
          </cell>
          <cell r="AD335" t="str">
            <v>P0003</v>
          </cell>
          <cell r="AE335" t="str">
            <v/>
          </cell>
          <cell r="AF335" t="str">
            <v>21:17,22:20</v>
          </cell>
          <cell r="AG335" t="str">
            <v>17:21,20:22</v>
          </cell>
          <cell r="AH335" t="str">
            <v/>
          </cell>
          <cell r="AI335">
            <v>21</v>
          </cell>
          <cell r="AJ335">
            <v>17</v>
          </cell>
          <cell r="AK335">
            <v>22</v>
          </cell>
          <cell r="AL335">
            <v>20</v>
          </cell>
          <cell r="AM335">
            <v>0</v>
          </cell>
          <cell r="AN335">
            <v>0</v>
          </cell>
        </row>
        <row r="336">
          <cell r="A336" t="str">
            <v/>
          </cell>
          <cell r="B336" t="str">
            <v>Łukasz PIENIĄŻEK (Rzeszów)</v>
          </cell>
          <cell r="H336" t="str">
            <v>P0003</v>
          </cell>
          <cell r="K336" t="str">
            <v>J0005</v>
          </cell>
          <cell r="N336" t="str">
            <v>Tomasz JENDRYASSEK (Rzeszów)</v>
          </cell>
        </row>
        <row r="337">
          <cell r="A337" t="str">
            <v/>
          </cell>
          <cell r="B337" t="str">
            <v/>
          </cell>
          <cell r="H337" t="str">
            <v/>
          </cell>
          <cell r="K337" t="str">
            <v/>
          </cell>
          <cell r="N337" t="str">
            <v/>
          </cell>
        </row>
        <row r="339">
          <cell r="B339" t="str">
            <v>zwycięzca(cy): 21:17,22:20</v>
          </cell>
          <cell r="K339" t="str">
            <v/>
          </cell>
        </row>
        <row r="340">
          <cell r="B340">
            <v>49</v>
          </cell>
          <cell r="C340" t="str">
            <v>dzień turnieju.</v>
          </cell>
          <cell r="I340" t="str">
            <v>Nr meczu</v>
          </cell>
          <cell r="N340" t="str">
            <v>Godz.</v>
          </cell>
          <cell r="R340" t="str">
            <v>S. prow.</v>
          </cell>
          <cell r="AF340" t="str">
            <v>wygrany</v>
          </cell>
          <cell r="AG340" t="str">
            <v>przegrany</v>
          </cell>
        </row>
        <row r="341">
          <cell r="B341" t="str">
            <v>Boisko</v>
          </cell>
          <cell r="C341" t="str">
            <v>Gra</v>
          </cell>
          <cell r="I341">
            <v>49</v>
          </cell>
          <cell r="N341" t="str">
            <v>rozp.</v>
          </cell>
          <cell r="P341" t="str">
            <v>zak.</v>
          </cell>
          <cell r="R341" t="str">
            <v>S. serw.</v>
          </cell>
        </row>
        <row r="342">
          <cell r="A342">
            <v>49</v>
          </cell>
          <cell r="C342" t="str">
            <v>Open</v>
          </cell>
          <cell r="H342">
            <v>21</v>
          </cell>
          <cell r="I342">
            <v>15</v>
          </cell>
          <cell r="J342">
            <v>17</v>
          </cell>
          <cell r="K342">
            <v>21</v>
          </cell>
          <cell r="L342">
            <v>16</v>
          </cell>
          <cell r="M342">
            <v>21</v>
          </cell>
          <cell r="R342">
            <v>0</v>
          </cell>
          <cell r="S342" t="str">
            <v>godz.13:00</v>
          </cell>
          <cell r="X342">
            <v>49</v>
          </cell>
          <cell r="Y342" t="str">
            <v>Open</v>
          </cell>
          <cell r="Z342" t="str">
            <v>M0019</v>
          </cell>
          <cell r="AA342" t="str">
            <v/>
          </cell>
          <cell r="AB342" t="str">
            <v>K0014</v>
          </cell>
          <cell r="AC342" t="str">
            <v/>
          </cell>
          <cell r="AD342" t="str">
            <v>K0014</v>
          </cell>
          <cell r="AE342" t="str">
            <v/>
          </cell>
          <cell r="AF342" t="str">
            <v>15:21,21:17,21:16</v>
          </cell>
          <cell r="AG342" t="str">
            <v>21:15,17:21,16:21</v>
          </cell>
          <cell r="AH342" t="str">
            <v/>
          </cell>
          <cell r="AI342">
            <v>21</v>
          </cell>
          <cell r="AJ342">
            <v>15</v>
          </cell>
          <cell r="AK342">
            <v>17</v>
          </cell>
          <cell r="AL342">
            <v>21</v>
          </cell>
          <cell r="AM342">
            <v>16</v>
          </cell>
          <cell r="AN342">
            <v>21</v>
          </cell>
        </row>
        <row r="343">
          <cell r="A343" t="str">
            <v/>
          </cell>
          <cell r="B343" t="str">
            <v>Grzegorz MAC  (Rzeszów)</v>
          </cell>
          <cell r="H343" t="str">
            <v>M0019</v>
          </cell>
          <cell r="K343" t="str">
            <v>K0014</v>
          </cell>
          <cell r="N343" t="str">
            <v>Zdzisław KULA  (Tarnów)</v>
          </cell>
        </row>
        <row r="344">
          <cell r="A344" t="str">
            <v/>
          </cell>
          <cell r="B344" t="str">
            <v/>
          </cell>
          <cell r="H344" t="str">
            <v/>
          </cell>
          <cell r="K344" t="str">
            <v/>
          </cell>
          <cell r="N344" t="str">
            <v/>
          </cell>
        </row>
        <row r="346">
          <cell r="B346" t="str">
            <v/>
          </cell>
          <cell r="K346" t="str">
            <v>zwycięzca(cy): 15:21,21:17,21:16</v>
          </cell>
        </row>
        <row r="347">
          <cell r="B347">
            <v>50</v>
          </cell>
          <cell r="C347" t="str">
            <v>dzień turnieju.</v>
          </cell>
          <cell r="I347" t="str">
            <v>Nr meczu</v>
          </cell>
          <cell r="N347" t="str">
            <v>Godz.</v>
          </cell>
          <cell r="R347" t="str">
            <v>S. prow.</v>
          </cell>
          <cell r="AF347" t="str">
            <v>wygrany</v>
          </cell>
          <cell r="AG347" t="str">
            <v>przegrany</v>
          </cell>
        </row>
        <row r="348">
          <cell r="B348" t="str">
            <v>Boisko</v>
          </cell>
          <cell r="C348" t="str">
            <v>Gra</v>
          </cell>
          <cell r="I348">
            <v>50</v>
          </cell>
          <cell r="N348" t="str">
            <v>rozp.</v>
          </cell>
          <cell r="P348" t="str">
            <v>zak.</v>
          </cell>
          <cell r="R348" t="str">
            <v>S. serw.</v>
          </cell>
        </row>
        <row r="349">
          <cell r="A349">
            <v>50</v>
          </cell>
          <cell r="C349" t="str">
            <v>Open</v>
          </cell>
          <cell r="H349">
            <v>21</v>
          </cell>
          <cell r="I349">
            <v>15</v>
          </cell>
          <cell r="J349">
            <v>21</v>
          </cell>
          <cell r="K349">
            <v>18</v>
          </cell>
          <cell r="R349">
            <v>0</v>
          </cell>
          <cell r="S349" t="str">
            <v>godz.13:00</v>
          </cell>
          <cell r="X349">
            <v>50</v>
          </cell>
          <cell r="Y349" t="str">
            <v>Open</v>
          </cell>
          <cell r="Z349" t="str">
            <v>I0002</v>
          </cell>
          <cell r="AA349" t="str">
            <v/>
          </cell>
          <cell r="AB349" t="str">
            <v>J0001</v>
          </cell>
          <cell r="AC349" t="str">
            <v/>
          </cell>
          <cell r="AD349" t="str">
            <v>I0002</v>
          </cell>
          <cell r="AE349" t="str">
            <v/>
          </cell>
          <cell r="AF349" t="str">
            <v>21:15,21:18</v>
          </cell>
          <cell r="AG349" t="str">
            <v>15:21,18:21</v>
          </cell>
          <cell r="AH349" t="str">
            <v/>
          </cell>
          <cell r="AI349">
            <v>21</v>
          </cell>
          <cell r="AJ349">
            <v>15</v>
          </cell>
          <cell r="AK349">
            <v>21</v>
          </cell>
          <cell r="AL349">
            <v>18</v>
          </cell>
          <cell r="AM349">
            <v>0</v>
          </cell>
          <cell r="AN349">
            <v>0</v>
          </cell>
        </row>
        <row r="350">
          <cell r="A350" t="str">
            <v/>
          </cell>
          <cell r="B350" t="str">
            <v>Igor IWAŃSKI (Mielec)</v>
          </cell>
          <cell r="H350" t="str">
            <v>I0002</v>
          </cell>
          <cell r="K350" t="str">
            <v>J0001</v>
          </cell>
          <cell r="N350" t="str">
            <v>Mateusz JĘDRZEJKO (Rzeszów)</v>
          </cell>
        </row>
        <row r="351">
          <cell r="A351" t="str">
            <v/>
          </cell>
          <cell r="B351" t="str">
            <v/>
          </cell>
          <cell r="H351" t="str">
            <v/>
          </cell>
          <cell r="K351" t="str">
            <v/>
          </cell>
          <cell r="N351" t="str">
            <v/>
          </cell>
        </row>
        <row r="353">
          <cell r="B353" t="str">
            <v>zwycięzca(cy): 21:15,21:18</v>
          </cell>
          <cell r="K353" t="str">
            <v/>
          </cell>
        </row>
        <row r="354">
          <cell r="B354">
            <v>51</v>
          </cell>
          <cell r="C354" t="str">
            <v>dzień turnieju.</v>
          </cell>
          <cell r="I354" t="str">
            <v>Nr meczu</v>
          </cell>
          <cell r="N354" t="str">
            <v>Godz.</v>
          </cell>
          <cell r="R354" t="str">
            <v>S. prow.</v>
          </cell>
          <cell r="AF354" t="str">
            <v>wygrany</v>
          </cell>
          <cell r="AG354" t="str">
            <v>przegrany</v>
          </cell>
        </row>
        <row r="355">
          <cell r="B355" t="str">
            <v>Boisko</v>
          </cell>
          <cell r="C355" t="str">
            <v>Gra</v>
          </cell>
          <cell r="I355">
            <v>51</v>
          </cell>
          <cell r="N355" t="str">
            <v>rozp.</v>
          </cell>
          <cell r="P355" t="str">
            <v>zak.</v>
          </cell>
          <cell r="R355" t="str">
            <v>S. serw.</v>
          </cell>
        </row>
        <row r="356">
          <cell r="A356">
            <v>51</v>
          </cell>
          <cell r="C356" t="str">
            <v>Open</v>
          </cell>
          <cell r="H356">
            <v>21</v>
          </cell>
          <cell r="I356">
            <v>13</v>
          </cell>
          <cell r="J356">
            <v>21</v>
          </cell>
          <cell r="K356">
            <v>5</v>
          </cell>
          <cell r="R356">
            <v>0</v>
          </cell>
          <cell r="S356" t="str">
            <v>godz.13:00</v>
          </cell>
          <cell r="X356">
            <v>51</v>
          </cell>
          <cell r="Y356" t="str">
            <v>Open</v>
          </cell>
          <cell r="Z356" t="str">
            <v>B0001</v>
          </cell>
          <cell r="AA356" t="str">
            <v/>
          </cell>
          <cell r="AB356" t="str">
            <v>G0011</v>
          </cell>
          <cell r="AC356" t="str">
            <v/>
          </cell>
          <cell r="AD356" t="str">
            <v>B0001</v>
          </cell>
          <cell r="AE356" t="str">
            <v/>
          </cell>
          <cell r="AF356" t="str">
            <v>21:13,21:5</v>
          </cell>
          <cell r="AG356" t="str">
            <v>13:21,5:21</v>
          </cell>
          <cell r="AH356" t="str">
            <v/>
          </cell>
          <cell r="AI356">
            <v>21</v>
          </cell>
          <cell r="AJ356">
            <v>13</v>
          </cell>
          <cell r="AK356">
            <v>21</v>
          </cell>
          <cell r="AL356">
            <v>5</v>
          </cell>
          <cell r="AM356">
            <v>0</v>
          </cell>
          <cell r="AN356">
            <v>0</v>
          </cell>
        </row>
        <row r="357">
          <cell r="A357" t="str">
            <v/>
          </cell>
          <cell r="B357" t="str">
            <v>Maciej BARAN (Rzeszów)</v>
          </cell>
          <cell r="H357" t="str">
            <v>B0001</v>
          </cell>
          <cell r="K357" t="str">
            <v>G0011</v>
          </cell>
          <cell r="N357" t="str">
            <v>Jakub GERCZAK (Sanok)</v>
          </cell>
        </row>
        <row r="358">
          <cell r="A358" t="str">
            <v/>
          </cell>
          <cell r="B358" t="str">
            <v/>
          </cell>
          <cell r="H358" t="str">
            <v/>
          </cell>
          <cell r="K358" t="str">
            <v/>
          </cell>
          <cell r="N358" t="str">
            <v/>
          </cell>
        </row>
        <row r="360">
          <cell r="B360" t="str">
            <v>zwycięzca(cy): 21:13,21:5</v>
          </cell>
          <cell r="K360" t="str">
            <v/>
          </cell>
        </row>
        <row r="361">
          <cell r="B361">
            <v>52</v>
          </cell>
          <cell r="C361" t="str">
            <v>dzień turnieju.</v>
          </cell>
          <cell r="I361" t="str">
            <v>Nr meczu</v>
          </cell>
          <cell r="N361" t="str">
            <v>Godz.</v>
          </cell>
          <cell r="R361" t="str">
            <v>S. prow.</v>
          </cell>
          <cell r="AF361" t="str">
            <v>wygrany</v>
          </cell>
          <cell r="AG361" t="str">
            <v>przegrany</v>
          </cell>
        </row>
        <row r="362">
          <cell r="B362" t="str">
            <v>Boisko</v>
          </cell>
          <cell r="C362" t="str">
            <v>Gra</v>
          </cell>
          <cell r="I362">
            <v>52</v>
          </cell>
          <cell r="N362" t="str">
            <v>rozp.</v>
          </cell>
          <cell r="P362" t="str">
            <v>zak.</v>
          </cell>
          <cell r="R362" t="str">
            <v>S. serw.</v>
          </cell>
        </row>
        <row r="363">
          <cell r="A363">
            <v>52</v>
          </cell>
          <cell r="C363" t="str">
            <v>Open</v>
          </cell>
          <cell r="H363">
            <v>21</v>
          </cell>
          <cell r="I363">
            <v>10</v>
          </cell>
          <cell r="J363">
            <v>21</v>
          </cell>
          <cell r="K363">
            <v>16</v>
          </cell>
          <cell r="R363">
            <v>0</v>
          </cell>
          <cell r="S363" t="str">
            <v>godz.13:00</v>
          </cell>
          <cell r="X363">
            <v>52</v>
          </cell>
          <cell r="Y363" t="str">
            <v>Open</v>
          </cell>
          <cell r="Z363" t="str">
            <v>K0014</v>
          </cell>
          <cell r="AA363" t="str">
            <v/>
          </cell>
          <cell r="AB363" t="str">
            <v>J0005</v>
          </cell>
          <cell r="AC363" t="str">
            <v/>
          </cell>
          <cell r="AD363" t="str">
            <v>K0014</v>
          </cell>
          <cell r="AE363" t="str">
            <v/>
          </cell>
          <cell r="AF363" t="str">
            <v>21:10,21:16</v>
          </cell>
          <cell r="AG363" t="str">
            <v>10:21,16:21</v>
          </cell>
          <cell r="AH363" t="str">
            <v/>
          </cell>
          <cell r="AI363">
            <v>21</v>
          </cell>
          <cell r="AJ363">
            <v>10</v>
          </cell>
          <cell r="AK363">
            <v>21</v>
          </cell>
          <cell r="AL363">
            <v>16</v>
          </cell>
          <cell r="AM363">
            <v>0</v>
          </cell>
          <cell r="AN363">
            <v>0</v>
          </cell>
        </row>
        <row r="364">
          <cell r="A364" t="str">
            <v/>
          </cell>
          <cell r="B364" t="str">
            <v>Zdzisław KULA  (Tarnów)</v>
          </cell>
          <cell r="H364" t="str">
            <v>K0014</v>
          </cell>
          <cell r="K364" t="str">
            <v>J0005</v>
          </cell>
          <cell r="N364" t="str">
            <v>Tomasz JENDRYASSEK (Rzeszów)</v>
          </cell>
        </row>
        <row r="365">
          <cell r="A365" t="str">
            <v/>
          </cell>
          <cell r="B365" t="str">
            <v/>
          </cell>
          <cell r="H365" t="str">
            <v/>
          </cell>
          <cell r="K365" t="str">
            <v/>
          </cell>
          <cell r="N365" t="str">
            <v/>
          </cell>
        </row>
        <row r="367">
          <cell r="B367" t="str">
            <v>zwycięzca(cy): 21:10,21:16</v>
          </cell>
          <cell r="K367" t="str">
            <v/>
          </cell>
        </row>
        <row r="368">
          <cell r="B368">
            <v>53</v>
          </cell>
          <cell r="C368" t="str">
            <v>dzień turnieju.</v>
          </cell>
          <cell r="I368" t="str">
            <v>Nr meczu</v>
          </cell>
          <cell r="N368" t="str">
            <v>Godz.</v>
          </cell>
          <cell r="R368" t="str">
            <v>S. prow.</v>
          </cell>
          <cell r="AF368" t="str">
            <v>wygrany</v>
          </cell>
          <cell r="AG368" t="str">
            <v>przegrany</v>
          </cell>
        </row>
        <row r="369">
          <cell r="B369" t="str">
            <v>Boisko</v>
          </cell>
          <cell r="C369" t="str">
            <v>Gra</v>
          </cell>
          <cell r="I369">
            <v>53</v>
          </cell>
          <cell r="N369" t="str">
            <v>rozp.</v>
          </cell>
          <cell r="P369" t="str">
            <v>zak.</v>
          </cell>
          <cell r="R369" t="str">
            <v>S. serw.</v>
          </cell>
        </row>
        <row r="370">
          <cell r="A370">
            <v>53</v>
          </cell>
          <cell r="C370" t="str">
            <v>Open</v>
          </cell>
          <cell r="H370">
            <v>21</v>
          </cell>
          <cell r="I370">
            <v>7</v>
          </cell>
          <cell r="J370">
            <v>21</v>
          </cell>
          <cell r="K370">
            <v>4</v>
          </cell>
          <cell r="R370">
            <v>0</v>
          </cell>
          <cell r="S370" t="str">
            <v>godz.13:20</v>
          </cell>
          <cell r="X370">
            <v>53</v>
          </cell>
          <cell r="Y370" t="str">
            <v>Open</v>
          </cell>
          <cell r="Z370" t="str">
            <v>P0003</v>
          </cell>
          <cell r="AA370" t="str">
            <v/>
          </cell>
          <cell r="AB370" t="str">
            <v>M0019</v>
          </cell>
          <cell r="AC370" t="str">
            <v/>
          </cell>
          <cell r="AD370" t="str">
            <v>P0003</v>
          </cell>
          <cell r="AE370" t="str">
            <v/>
          </cell>
          <cell r="AF370" t="str">
            <v>21:7,21:4</v>
          </cell>
          <cell r="AG370" t="str">
            <v>7:21,4:21</v>
          </cell>
          <cell r="AH370" t="str">
            <v/>
          </cell>
          <cell r="AI370">
            <v>21</v>
          </cell>
          <cell r="AJ370">
            <v>7</v>
          </cell>
          <cell r="AK370">
            <v>21</v>
          </cell>
          <cell r="AL370">
            <v>4</v>
          </cell>
          <cell r="AM370">
            <v>0</v>
          </cell>
          <cell r="AN370">
            <v>0</v>
          </cell>
        </row>
        <row r="371">
          <cell r="A371" t="str">
            <v/>
          </cell>
          <cell r="B371" t="str">
            <v>Łukasz PIENIĄŻEK (Rzeszów)</v>
          </cell>
          <cell r="H371" t="str">
            <v>P0003</v>
          </cell>
          <cell r="K371" t="str">
            <v>M0019</v>
          </cell>
          <cell r="N371" t="str">
            <v>Grzegorz MAC  (Rzeszów)</v>
          </cell>
        </row>
        <row r="372">
          <cell r="A372" t="str">
            <v/>
          </cell>
          <cell r="B372" t="str">
            <v/>
          </cell>
          <cell r="H372" t="str">
            <v/>
          </cell>
          <cell r="K372" t="str">
            <v/>
          </cell>
          <cell r="N372" t="str">
            <v/>
          </cell>
        </row>
        <row r="374">
          <cell r="B374" t="str">
            <v>zwycięzca(cy): 21:7,21:4</v>
          </cell>
          <cell r="K374" t="str">
            <v/>
          </cell>
        </row>
        <row r="375">
          <cell r="B375">
            <v>54</v>
          </cell>
          <cell r="C375" t="str">
            <v>dzień turnieju.</v>
          </cell>
          <cell r="I375" t="str">
            <v>Nr meczu</v>
          </cell>
          <cell r="N375" t="str">
            <v>Godz.</v>
          </cell>
          <cell r="R375" t="str">
            <v>S. prow.</v>
          </cell>
          <cell r="AF375" t="str">
            <v>wygrany</v>
          </cell>
          <cell r="AG375" t="str">
            <v>przegrany</v>
          </cell>
        </row>
        <row r="376">
          <cell r="B376" t="str">
            <v>Boisko</v>
          </cell>
          <cell r="C376" t="str">
            <v>Gra</v>
          </cell>
          <cell r="I376">
            <v>54</v>
          </cell>
          <cell r="N376" t="str">
            <v>rozp.</v>
          </cell>
          <cell r="P376" t="str">
            <v>zak.</v>
          </cell>
          <cell r="R376" t="str">
            <v>S. serw.</v>
          </cell>
        </row>
        <row r="377">
          <cell r="A377">
            <v>54</v>
          </cell>
          <cell r="C377" t="str">
            <v>Open</v>
          </cell>
          <cell r="H377">
            <v>18</v>
          </cell>
          <cell r="I377">
            <v>21</v>
          </cell>
          <cell r="J377">
            <v>14</v>
          </cell>
          <cell r="K377">
            <v>21</v>
          </cell>
          <cell r="R377">
            <v>0</v>
          </cell>
          <cell r="S377" t="str">
            <v>godz.13:20</v>
          </cell>
          <cell r="X377">
            <v>54</v>
          </cell>
          <cell r="Y377" t="str">
            <v>Open</v>
          </cell>
          <cell r="Z377" t="str">
            <v>G0011</v>
          </cell>
          <cell r="AA377" t="str">
            <v/>
          </cell>
          <cell r="AB377" t="str">
            <v>J0001</v>
          </cell>
          <cell r="AC377" t="str">
            <v/>
          </cell>
          <cell r="AD377" t="str">
            <v>J0001</v>
          </cell>
          <cell r="AE377" t="str">
            <v/>
          </cell>
          <cell r="AF377" t="str">
            <v>21:18,21:14</v>
          </cell>
          <cell r="AG377" t="str">
            <v>18:21,14:21</v>
          </cell>
          <cell r="AH377" t="str">
            <v/>
          </cell>
          <cell r="AI377">
            <v>18</v>
          </cell>
          <cell r="AJ377">
            <v>21</v>
          </cell>
          <cell r="AK377">
            <v>14</v>
          </cell>
          <cell r="AL377">
            <v>21</v>
          </cell>
          <cell r="AM377">
            <v>0</v>
          </cell>
          <cell r="AN377">
            <v>0</v>
          </cell>
        </row>
        <row r="378">
          <cell r="A378" t="str">
            <v/>
          </cell>
          <cell r="B378" t="str">
            <v>Jakub GERCZAK (Sanok)</v>
          </cell>
          <cell r="H378" t="str">
            <v>G0011</v>
          </cell>
          <cell r="K378" t="str">
            <v>J0001</v>
          </cell>
          <cell r="N378" t="str">
            <v>Mateusz JĘDRZEJKO (Rzeszów)</v>
          </cell>
        </row>
        <row r="379">
          <cell r="A379" t="str">
            <v/>
          </cell>
          <cell r="B379" t="str">
            <v/>
          </cell>
          <cell r="H379" t="str">
            <v/>
          </cell>
          <cell r="K379" t="str">
            <v/>
          </cell>
          <cell r="N379" t="str">
            <v/>
          </cell>
        </row>
        <row r="381">
          <cell r="B381" t="str">
            <v/>
          </cell>
          <cell r="K381" t="str">
            <v>zwycięzca(cy): 21:18,21:14</v>
          </cell>
        </row>
        <row r="382">
          <cell r="B382">
            <v>55</v>
          </cell>
          <cell r="C382" t="str">
            <v>dzień turnieju.</v>
          </cell>
          <cell r="I382" t="str">
            <v>Nr meczu</v>
          </cell>
          <cell r="N382" t="str">
            <v>Godz.</v>
          </cell>
          <cell r="R382" t="str">
            <v>S. prow.</v>
          </cell>
          <cell r="AF382" t="str">
            <v>wygrany</v>
          </cell>
          <cell r="AG382" t="str">
            <v>przegrany</v>
          </cell>
        </row>
        <row r="383">
          <cell r="B383" t="str">
            <v>Boisko</v>
          </cell>
          <cell r="C383" t="str">
            <v>Gra</v>
          </cell>
          <cell r="I383">
            <v>55</v>
          </cell>
          <cell r="N383" t="str">
            <v>rozp.</v>
          </cell>
          <cell r="P383" t="str">
            <v>zak.</v>
          </cell>
          <cell r="R383" t="str">
            <v>S. serw.</v>
          </cell>
        </row>
        <row r="384">
          <cell r="A384">
            <v>55</v>
          </cell>
          <cell r="C384" t="str">
            <v>Open</v>
          </cell>
          <cell r="H384">
            <v>9</v>
          </cell>
          <cell r="I384">
            <v>21</v>
          </cell>
          <cell r="J384">
            <v>15</v>
          </cell>
          <cell r="K384">
            <v>21</v>
          </cell>
          <cell r="R384">
            <v>0</v>
          </cell>
          <cell r="S384" t="str">
            <v>godz.13:20</v>
          </cell>
          <cell r="X384">
            <v>55</v>
          </cell>
          <cell r="Y384" t="str">
            <v>Open</v>
          </cell>
          <cell r="Z384" t="str">
            <v>I0002</v>
          </cell>
          <cell r="AA384" t="str">
            <v/>
          </cell>
          <cell r="AB384" t="str">
            <v>B0001</v>
          </cell>
          <cell r="AC384" t="str">
            <v/>
          </cell>
          <cell r="AD384" t="str">
            <v>B0001</v>
          </cell>
          <cell r="AE384" t="str">
            <v/>
          </cell>
          <cell r="AF384" t="str">
            <v>21:9,21:15</v>
          </cell>
          <cell r="AG384" t="str">
            <v>9:21,15:21</v>
          </cell>
          <cell r="AH384" t="str">
            <v/>
          </cell>
          <cell r="AI384">
            <v>9</v>
          </cell>
          <cell r="AJ384">
            <v>21</v>
          </cell>
          <cell r="AK384">
            <v>15</v>
          </cell>
          <cell r="AL384">
            <v>21</v>
          </cell>
          <cell r="AM384">
            <v>0</v>
          </cell>
          <cell r="AN384">
            <v>0</v>
          </cell>
        </row>
        <row r="385">
          <cell r="A385" t="str">
            <v/>
          </cell>
          <cell r="B385" t="str">
            <v>Igor IWAŃSKI (Mielec)</v>
          </cell>
          <cell r="H385" t="str">
            <v>I0002</v>
          </cell>
          <cell r="K385" t="str">
            <v>B0001</v>
          </cell>
          <cell r="N385" t="str">
            <v>Maciej BARAN (Rzeszów)</v>
          </cell>
        </row>
        <row r="386">
          <cell r="A386" t="str">
            <v/>
          </cell>
          <cell r="B386" t="str">
            <v/>
          </cell>
          <cell r="H386" t="str">
            <v/>
          </cell>
          <cell r="K386" t="str">
            <v/>
          </cell>
          <cell r="N386" t="str">
            <v/>
          </cell>
        </row>
        <row r="388">
          <cell r="B388" t="str">
            <v/>
          </cell>
          <cell r="K388" t="str">
            <v>zwycięzca(cy): 21:9,21:15</v>
          </cell>
        </row>
        <row r="389">
          <cell r="B389">
            <v>56</v>
          </cell>
          <cell r="C389" t="str">
            <v>dzień turnieju.</v>
          </cell>
          <cell r="I389" t="str">
            <v>Nr meczu</v>
          </cell>
          <cell r="N389" t="str">
            <v>Godz.</v>
          </cell>
          <cell r="R389" t="str">
            <v>S. prow.</v>
          </cell>
          <cell r="AF389" t="str">
            <v>wygrany</v>
          </cell>
          <cell r="AG389" t="str">
            <v>przegrany</v>
          </cell>
        </row>
        <row r="390">
          <cell r="B390" t="str">
            <v>Boisko</v>
          </cell>
          <cell r="C390" t="str">
            <v>Gra</v>
          </cell>
          <cell r="I390">
            <v>56</v>
          </cell>
          <cell r="N390" t="str">
            <v>rozp.</v>
          </cell>
          <cell r="P390" t="str">
            <v>zak.</v>
          </cell>
          <cell r="R390" t="str">
            <v>S. serw.</v>
          </cell>
        </row>
        <row r="391">
          <cell r="A391">
            <v>56</v>
          </cell>
          <cell r="C391" t="str">
            <v>Open</v>
          </cell>
          <cell r="H391">
            <v>13</v>
          </cell>
          <cell r="I391">
            <v>21</v>
          </cell>
          <cell r="J391">
            <v>13</v>
          </cell>
          <cell r="K391">
            <v>21</v>
          </cell>
          <cell r="R391">
            <v>0</v>
          </cell>
          <cell r="S391" t="str">
            <v>godz.13:20</v>
          </cell>
          <cell r="X391">
            <v>56</v>
          </cell>
          <cell r="Y391" t="str">
            <v>Open</v>
          </cell>
          <cell r="Z391" t="str">
            <v>K0014</v>
          </cell>
          <cell r="AA391" t="str">
            <v/>
          </cell>
          <cell r="AB391" t="str">
            <v>I0002</v>
          </cell>
          <cell r="AC391" t="str">
            <v/>
          </cell>
          <cell r="AD391" t="str">
            <v>I0002</v>
          </cell>
          <cell r="AE391" t="str">
            <v/>
          </cell>
          <cell r="AF391" t="str">
            <v>21:13,21:13</v>
          </cell>
          <cell r="AG391" t="str">
            <v>13:21,13:21</v>
          </cell>
          <cell r="AH391" t="str">
            <v/>
          </cell>
          <cell r="AI391">
            <v>13</v>
          </cell>
          <cell r="AJ391">
            <v>21</v>
          </cell>
          <cell r="AK391">
            <v>13</v>
          </cell>
          <cell r="AL391">
            <v>21</v>
          </cell>
          <cell r="AM391">
            <v>0</v>
          </cell>
          <cell r="AN391">
            <v>0</v>
          </cell>
        </row>
        <row r="392">
          <cell r="A392" t="str">
            <v/>
          </cell>
          <cell r="B392" t="str">
            <v>Zdzisław KULA  (Tarnów)</v>
          </cell>
          <cell r="H392" t="str">
            <v>K0014</v>
          </cell>
          <cell r="K392" t="str">
            <v>I0002</v>
          </cell>
          <cell r="N392" t="str">
            <v>Igor IWAŃSKI (Mielec)</v>
          </cell>
        </row>
        <row r="393">
          <cell r="A393" t="str">
            <v/>
          </cell>
          <cell r="B393" t="str">
            <v/>
          </cell>
          <cell r="H393" t="str">
            <v/>
          </cell>
          <cell r="K393" t="str">
            <v/>
          </cell>
          <cell r="N393" t="str">
            <v/>
          </cell>
        </row>
        <row r="395">
          <cell r="B395" t="str">
            <v/>
          </cell>
          <cell r="K395" t="str">
            <v>zwycięzca(cy): 21:13,21:13</v>
          </cell>
        </row>
        <row r="396">
          <cell r="B396">
            <v>57</v>
          </cell>
          <cell r="C396" t="str">
            <v>dzień turnieju.</v>
          </cell>
          <cell r="I396" t="str">
            <v>Nr meczu</v>
          </cell>
          <cell r="N396" t="str">
            <v>Godz.</v>
          </cell>
          <cell r="R396" t="str">
            <v>S. prow.</v>
          </cell>
          <cell r="AF396" t="str">
            <v>wygrany</v>
          </cell>
          <cell r="AG396" t="str">
            <v>przegrany</v>
          </cell>
        </row>
        <row r="397">
          <cell r="B397" t="str">
            <v>Boisko</v>
          </cell>
          <cell r="C397" t="str">
            <v>Gra</v>
          </cell>
          <cell r="I397">
            <v>57</v>
          </cell>
          <cell r="N397" t="str">
            <v>rozp.</v>
          </cell>
          <cell r="P397" t="str">
            <v>zak.</v>
          </cell>
          <cell r="R397" t="str">
            <v>S. serw.</v>
          </cell>
        </row>
        <row r="398">
          <cell r="A398">
            <v>57</v>
          </cell>
          <cell r="C398" t="str">
            <v>Open</v>
          </cell>
          <cell r="H398">
            <v>16</v>
          </cell>
          <cell r="I398">
            <v>21</v>
          </cell>
          <cell r="J398">
            <v>16</v>
          </cell>
          <cell r="K398">
            <v>21</v>
          </cell>
          <cell r="R398">
            <v>0</v>
          </cell>
          <cell r="S398" t="str">
            <v>godz.13:40</v>
          </cell>
          <cell r="X398">
            <v>57</v>
          </cell>
          <cell r="Y398" t="str">
            <v>Open</v>
          </cell>
          <cell r="Z398" t="str">
            <v>P0003</v>
          </cell>
          <cell r="AA398" t="str">
            <v/>
          </cell>
          <cell r="AB398" t="str">
            <v>B0001</v>
          </cell>
          <cell r="AC398" t="str">
            <v/>
          </cell>
          <cell r="AD398" t="str">
            <v>B0001</v>
          </cell>
          <cell r="AE398" t="str">
            <v/>
          </cell>
          <cell r="AF398" t="str">
            <v>21:16,21:16</v>
          </cell>
          <cell r="AG398" t="str">
            <v>16:21,16:21</v>
          </cell>
          <cell r="AH398" t="str">
            <v/>
          </cell>
          <cell r="AI398">
            <v>16</v>
          </cell>
          <cell r="AJ398">
            <v>21</v>
          </cell>
          <cell r="AK398">
            <v>16</v>
          </cell>
          <cell r="AL398">
            <v>21</v>
          </cell>
          <cell r="AM398">
            <v>0</v>
          </cell>
          <cell r="AN398">
            <v>0</v>
          </cell>
        </row>
        <row r="399">
          <cell r="A399" t="str">
            <v/>
          </cell>
          <cell r="B399" t="str">
            <v>Łukasz PIENIĄŻEK (Rzeszów)</v>
          </cell>
          <cell r="H399" t="str">
            <v>P0003</v>
          </cell>
          <cell r="K399" t="str">
            <v>B0001</v>
          </cell>
          <cell r="N399" t="str">
            <v>Maciej BARAN (Rzeszów)</v>
          </cell>
        </row>
        <row r="400">
          <cell r="A400" t="str">
            <v/>
          </cell>
          <cell r="B400" t="str">
            <v/>
          </cell>
          <cell r="H400" t="str">
            <v/>
          </cell>
          <cell r="K400" t="str">
            <v/>
          </cell>
          <cell r="N400" t="str">
            <v/>
          </cell>
        </row>
        <row r="402">
          <cell r="B402" t="str">
            <v/>
          </cell>
          <cell r="K402" t="str">
            <v>zwycięzca(cy): 21:16,21:16</v>
          </cell>
        </row>
        <row r="403">
          <cell r="B403">
            <v>58</v>
          </cell>
          <cell r="C403" t="str">
            <v>dzień turnieju.</v>
          </cell>
          <cell r="I403" t="str">
            <v>Nr meczu</v>
          </cell>
          <cell r="N403" t="str">
            <v>Godz.</v>
          </cell>
          <cell r="R403" t="str">
            <v>S. prow.</v>
          </cell>
          <cell r="AF403" t="str">
            <v>wygrany</v>
          </cell>
          <cell r="AG403" t="str">
            <v>przegrany</v>
          </cell>
        </row>
        <row r="404">
          <cell r="B404" t="str">
            <v>Boisko</v>
          </cell>
          <cell r="C404" t="str">
            <v>Gra</v>
          </cell>
          <cell r="I404">
            <v>58</v>
          </cell>
          <cell r="N404" t="str">
            <v>rozp.</v>
          </cell>
          <cell r="P404" t="str">
            <v>zak.</v>
          </cell>
          <cell r="R404" t="str">
            <v>S. serw.</v>
          </cell>
        </row>
        <row r="405">
          <cell r="A405">
            <v>58</v>
          </cell>
          <cell r="C405" t="str">
            <v>Kobiet</v>
          </cell>
          <cell r="H405">
            <v>21</v>
          </cell>
          <cell r="I405">
            <v>17</v>
          </cell>
          <cell r="J405">
            <v>21</v>
          </cell>
          <cell r="K405">
            <v>7</v>
          </cell>
          <cell r="R405">
            <v>0</v>
          </cell>
          <cell r="S405" t="str">
            <v>godz.13:40</v>
          </cell>
          <cell r="X405">
            <v>58</v>
          </cell>
          <cell r="Y405" t="str">
            <v>Kobiet</v>
          </cell>
          <cell r="Z405" t="str">
            <v>R0016</v>
          </cell>
          <cell r="AA405" t="str">
            <v/>
          </cell>
          <cell r="AB405" t="str">
            <v>G0016</v>
          </cell>
          <cell r="AC405" t="str">
            <v/>
          </cell>
          <cell r="AD405" t="str">
            <v>R0016</v>
          </cell>
          <cell r="AE405" t="str">
            <v/>
          </cell>
          <cell r="AF405" t="str">
            <v>21:17,21:7</v>
          </cell>
          <cell r="AG405" t="str">
            <v>17:21,7:21</v>
          </cell>
          <cell r="AH405" t="str">
            <v/>
          </cell>
          <cell r="AI405">
            <v>21</v>
          </cell>
          <cell r="AJ405">
            <v>17</v>
          </cell>
          <cell r="AK405">
            <v>21</v>
          </cell>
          <cell r="AL405">
            <v>7</v>
          </cell>
          <cell r="AM405">
            <v>0</v>
          </cell>
          <cell r="AN405">
            <v>0</v>
          </cell>
        </row>
        <row r="406">
          <cell r="A406" t="str">
            <v/>
          </cell>
          <cell r="B406" t="str">
            <v>Oliwia RYBIŃSKA (Mielec)</v>
          </cell>
          <cell r="H406" t="str">
            <v>R0016</v>
          </cell>
          <cell r="K406" t="str">
            <v>G0016</v>
          </cell>
          <cell r="N406" t="str">
            <v>Wiktoria GRĄDZKA (Mielec)</v>
          </cell>
        </row>
        <row r="407">
          <cell r="A407" t="str">
            <v/>
          </cell>
          <cell r="B407" t="str">
            <v/>
          </cell>
          <cell r="H407" t="str">
            <v/>
          </cell>
          <cell r="K407" t="str">
            <v/>
          </cell>
          <cell r="N407" t="str">
            <v/>
          </cell>
        </row>
        <row r="409">
          <cell r="B409" t="str">
            <v>zwycięzca(cy): 21:17,21:7</v>
          </cell>
          <cell r="K409" t="str">
            <v/>
          </cell>
        </row>
        <row r="410">
          <cell r="B410">
            <v>59</v>
          </cell>
          <cell r="C410" t="str">
            <v>dzień turnieju.</v>
          </cell>
          <cell r="I410" t="str">
            <v>Nr meczu</v>
          </cell>
          <cell r="N410" t="str">
            <v>Godz.</v>
          </cell>
          <cell r="R410" t="str">
            <v>S. prow.</v>
          </cell>
          <cell r="AF410" t="str">
            <v>wygrany</v>
          </cell>
          <cell r="AG410" t="str">
            <v>przegrany</v>
          </cell>
        </row>
        <row r="411">
          <cell r="B411" t="str">
            <v>Boisko</v>
          </cell>
          <cell r="C411" t="str">
            <v>Gra</v>
          </cell>
          <cell r="I411">
            <v>59</v>
          </cell>
          <cell r="N411" t="str">
            <v>rozp.</v>
          </cell>
          <cell r="P411" t="str">
            <v>zak.</v>
          </cell>
          <cell r="R411" t="str">
            <v>S. serw.</v>
          </cell>
        </row>
        <row r="412">
          <cell r="A412">
            <v>59</v>
          </cell>
          <cell r="C412" t="str">
            <v/>
          </cell>
          <cell r="H412">
            <v>6</v>
          </cell>
          <cell r="I412">
            <v>21</v>
          </cell>
          <cell r="J412">
            <v>10</v>
          </cell>
          <cell r="K412">
            <v>21</v>
          </cell>
          <cell r="R412">
            <v>0</v>
          </cell>
          <cell r="S412" t="str">
            <v>godz.13:40</v>
          </cell>
          <cell r="X412">
            <v>59</v>
          </cell>
          <cell r="Y412" t="str">
            <v/>
          </cell>
          <cell r="Z412" t="str">
            <v>P0021</v>
          </cell>
          <cell r="AA412" t="str">
            <v>W0013</v>
          </cell>
          <cell r="AB412" t="str">
            <v>M0027</v>
          </cell>
          <cell r="AC412" t="str">
            <v>R0013</v>
          </cell>
          <cell r="AD412" t="str">
            <v>M0027</v>
          </cell>
          <cell r="AE412" t="str">
            <v>R0013</v>
          </cell>
          <cell r="AF412" t="str">
            <v>21:6,21:10</v>
          </cell>
          <cell r="AG412" t="str">
            <v>6:21,10:21</v>
          </cell>
          <cell r="AH412" t="str">
            <v/>
          </cell>
          <cell r="AI412">
            <v>6</v>
          </cell>
          <cell r="AJ412">
            <v>21</v>
          </cell>
          <cell r="AK412">
            <v>10</v>
          </cell>
          <cell r="AL412">
            <v>21</v>
          </cell>
          <cell r="AM412">
            <v>0</v>
          </cell>
          <cell r="AN412">
            <v>0</v>
          </cell>
        </row>
        <row r="413">
          <cell r="A413" t="str">
            <v/>
          </cell>
          <cell r="B413" t="str">
            <v>Mikołaj POLAŃSKI (Rzeszów)</v>
          </cell>
          <cell r="H413" t="str">
            <v>P0021</v>
          </cell>
          <cell r="K413" t="str">
            <v>M0027</v>
          </cell>
          <cell r="N413" t="str">
            <v>Beata MYCEK (Nowa Dęba)</v>
          </cell>
        </row>
        <row r="414">
          <cell r="A414" t="str">
            <v/>
          </cell>
          <cell r="B414" t="str">
            <v>Olaf WARNECKI (Rzeszów)</v>
          </cell>
          <cell r="H414" t="str">
            <v>W0013</v>
          </cell>
          <cell r="K414" t="str">
            <v>R0013</v>
          </cell>
          <cell r="N414" t="str">
            <v>Natalia RÓG (Nowa Dęba)</v>
          </cell>
        </row>
        <row r="416">
          <cell r="B416" t="str">
            <v/>
          </cell>
          <cell r="K416" t="str">
            <v>zwycięzca(cy): 21:6,21:10</v>
          </cell>
        </row>
        <row r="417">
          <cell r="B417">
            <v>60</v>
          </cell>
          <cell r="C417" t="str">
            <v>dzień turnieju.</v>
          </cell>
          <cell r="I417" t="str">
            <v>Nr meczu</v>
          </cell>
          <cell r="N417" t="str">
            <v>Godz.</v>
          </cell>
          <cell r="R417" t="str">
            <v>S. prow.</v>
          </cell>
          <cell r="AF417" t="str">
            <v>wygrany</v>
          </cell>
          <cell r="AG417" t="str">
            <v>przegrany</v>
          </cell>
        </row>
        <row r="418">
          <cell r="B418" t="str">
            <v>Boisko</v>
          </cell>
          <cell r="C418" t="str">
            <v>Gra</v>
          </cell>
          <cell r="I418">
            <v>60</v>
          </cell>
          <cell r="N418" t="str">
            <v>rozp.</v>
          </cell>
          <cell r="P418" t="str">
            <v>zak.</v>
          </cell>
          <cell r="R418" t="str">
            <v>S. serw.</v>
          </cell>
        </row>
        <row r="419">
          <cell r="A419">
            <v>60</v>
          </cell>
          <cell r="C419" t="str">
            <v/>
          </cell>
          <cell r="H419">
            <v>23</v>
          </cell>
          <cell r="I419">
            <v>21</v>
          </cell>
          <cell r="J419">
            <v>21</v>
          </cell>
          <cell r="K419">
            <v>12</v>
          </cell>
          <cell r="R419">
            <v>0</v>
          </cell>
          <cell r="S419" t="str">
            <v>godz.13:40</v>
          </cell>
          <cell r="X419">
            <v>60</v>
          </cell>
          <cell r="Y419" t="str">
            <v/>
          </cell>
          <cell r="Z419" t="str">
            <v>J0001</v>
          </cell>
          <cell r="AA419" t="str">
            <v>M0019</v>
          </cell>
          <cell r="AB419" t="str">
            <v>B0009</v>
          </cell>
          <cell r="AC419" t="str">
            <v>L0004</v>
          </cell>
          <cell r="AD419" t="str">
            <v>J0001</v>
          </cell>
          <cell r="AE419" t="str">
            <v>M0019</v>
          </cell>
          <cell r="AF419" t="str">
            <v>23:21,21:12</v>
          </cell>
          <cell r="AG419" t="str">
            <v>21:23,12:21</v>
          </cell>
          <cell r="AH419" t="str">
            <v/>
          </cell>
          <cell r="AI419">
            <v>23</v>
          </cell>
          <cell r="AJ419">
            <v>21</v>
          </cell>
          <cell r="AK419">
            <v>21</v>
          </cell>
          <cell r="AL419">
            <v>12</v>
          </cell>
          <cell r="AM419">
            <v>0</v>
          </cell>
          <cell r="AN419">
            <v>0</v>
          </cell>
        </row>
        <row r="420">
          <cell r="A420" t="str">
            <v/>
          </cell>
          <cell r="B420" t="str">
            <v>Mateusz JĘDRZEJKO (Rzeszów)</v>
          </cell>
          <cell r="H420" t="str">
            <v>J0001</v>
          </cell>
          <cell r="K420" t="str">
            <v>B0009</v>
          </cell>
          <cell r="N420" t="str">
            <v>Adam BUNIO (Nowa Dęba)</v>
          </cell>
        </row>
        <row r="421">
          <cell r="A421" t="str">
            <v/>
          </cell>
          <cell r="B421" t="str">
            <v>Grzegorz MAC  (Rzeszów)</v>
          </cell>
          <cell r="H421" t="str">
            <v>M0019</v>
          </cell>
          <cell r="K421" t="str">
            <v>L0004</v>
          </cell>
          <cell r="N421" t="str">
            <v>Rafał LEJKO (Nowa Dęba)</v>
          </cell>
        </row>
        <row r="423">
          <cell r="B423" t="str">
            <v>zwycięzca(cy): 23:21,21:12</v>
          </cell>
          <cell r="K423" t="str">
            <v/>
          </cell>
        </row>
        <row r="424">
          <cell r="B424">
            <v>61</v>
          </cell>
          <cell r="C424" t="str">
            <v>dzień turnieju.</v>
          </cell>
          <cell r="I424" t="str">
            <v>Nr meczu</v>
          </cell>
          <cell r="N424" t="str">
            <v>Godz.</v>
          </cell>
          <cell r="R424" t="str">
            <v>S. prow.</v>
          </cell>
          <cell r="AF424" t="str">
            <v>wygrany</v>
          </cell>
          <cell r="AG424" t="str">
            <v>przegrany</v>
          </cell>
        </row>
        <row r="425">
          <cell r="B425" t="str">
            <v>Boisko</v>
          </cell>
          <cell r="C425" t="str">
            <v>Gra</v>
          </cell>
          <cell r="I425">
            <v>61</v>
          </cell>
          <cell r="N425" t="str">
            <v>rozp.</v>
          </cell>
          <cell r="P425" t="str">
            <v>zak.</v>
          </cell>
          <cell r="R425" t="str">
            <v>S. serw.</v>
          </cell>
        </row>
        <row r="426">
          <cell r="A426">
            <v>61</v>
          </cell>
          <cell r="C426" t="str">
            <v/>
          </cell>
          <cell r="H426">
            <v>21</v>
          </cell>
          <cell r="I426">
            <v>0</v>
          </cell>
          <cell r="J426">
            <v>21</v>
          </cell>
          <cell r="K426">
            <v>4</v>
          </cell>
          <cell r="R426">
            <v>0</v>
          </cell>
          <cell r="S426" t="str">
            <v>godz.14:00</v>
          </cell>
          <cell r="X426">
            <v>61</v>
          </cell>
          <cell r="Y426" t="str">
            <v/>
          </cell>
          <cell r="Z426" t="str">
            <v>B0001</v>
          </cell>
          <cell r="AA426" t="str">
            <v>P0003</v>
          </cell>
          <cell r="AB426" t="str">
            <v>G0013</v>
          </cell>
          <cell r="AC426" t="str">
            <v>S0032</v>
          </cell>
          <cell r="AD426" t="str">
            <v>B0001</v>
          </cell>
          <cell r="AE426" t="str">
            <v>P0003</v>
          </cell>
          <cell r="AF426" t="str">
            <v>21:0,21:4</v>
          </cell>
          <cell r="AG426" t="str">
            <v>0:21,4:21</v>
          </cell>
          <cell r="AH426" t="str">
            <v/>
          </cell>
          <cell r="AI426">
            <v>21</v>
          </cell>
          <cell r="AJ426">
            <v>0</v>
          </cell>
          <cell r="AK426">
            <v>21</v>
          </cell>
          <cell r="AL426">
            <v>4</v>
          </cell>
          <cell r="AM426">
            <v>0</v>
          </cell>
          <cell r="AN426">
            <v>0</v>
          </cell>
        </row>
        <row r="427">
          <cell r="A427" t="str">
            <v/>
          </cell>
          <cell r="B427" t="str">
            <v>Maciej BARAN (Rzeszów)</v>
          </cell>
          <cell r="H427" t="str">
            <v>B0001</v>
          </cell>
          <cell r="K427" t="str">
            <v>G0013</v>
          </cell>
          <cell r="N427" t="str">
            <v>Bartosz GROCHOCKI (Mielec)</v>
          </cell>
        </row>
        <row r="428">
          <cell r="A428" t="str">
            <v/>
          </cell>
          <cell r="B428" t="str">
            <v>Łukasz PIENIĄŻEK (Rzeszów)</v>
          </cell>
          <cell r="H428" t="str">
            <v>P0003</v>
          </cell>
          <cell r="K428" t="str">
            <v>S0032</v>
          </cell>
          <cell r="N428" t="str">
            <v>Łukasz SZANTULA (Mielec)</v>
          </cell>
        </row>
        <row r="430">
          <cell r="B430" t="str">
            <v>zwycięzca(cy): 21:0,21:4</v>
          </cell>
          <cell r="K430" t="str">
            <v/>
          </cell>
        </row>
        <row r="431">
          <cell r="B431">
            <v>62</v>
          </cell>
          <cell r="C431" t="str">
            <v>dzień turnieju.</v>
          </cell>
          <cell r="I431" t="str">
            <v>Nr meczu</v>
          </cell>
          <cell r="N431" t="str">
            <v>Godz.</v>
          </cell>
          <cell r="R431" t="str">
            <v>S. prow.</v>
          </cell>
          <cell r="AF431" t="str">
            <v>wygrany</v>
          </cell>
          <cell r="AG431" t="str">
            <v>przegrany</v>
          </cell>
        </row>
        <row r="432">
          <cell r="B432" t="str">
            <v>Boisko</v>
          </cell>
          <cell r="C432" t="str">
            <v>Gra</v>
          </cell>
          <cell r="I432">
            <v>62</v>
          </cell>
          <cell r="N432" t="str">
            <v>rozp.</v>
          </cell>
          <cell r="P432" t="str">
            <v>zak.</v>
          </cell>
          <cell r="R432" t="str">
            <v>S. serw.</v>
          </cell>
        </row>
        <row r="433">
          <cell r="A433">
            <v>62</v>
          </cell>
          <cell r="C433" t="str">
            <v/>
          </cell>
          <cell r="H433">
            <v>8</v>
          </cell>
          <cell r="I433">
            <v>21</v>
          </cell>
          <cell r="J433">
            <v>14</v>
          </cell>
          <cell r="K433">
            <v>21</v>
          </cell>
          <cell r="R433">
            <v>0</v>
          </cell>
          <cell r="S433" t="str">
            <v>godz.14:00</v>
          </cell>
          <cell r="X433">
            <v>62</v>
          </cell>
          <cell r="Y433" t="str">
            <v/>
          </cell>
          <cell r="Z433" t="str">
            <v>M0026</v>
          </cell>
          <cell r="AA433" t="str">
            <v>S0029</v>
          </cell>
          <cell r="AB433" t="str">
            <v>M0027</v>
          </cell>
          <cell r="AC433" t="str">
            <v>R0013</v>
          </cell>
          <cell r="AD433" t="str">
            <v>M0027</v>
          </cell>
          <cell r="AE433" t="str">
            <v>R0013</v>
          </cell>
          <cell r="AF433" t="str">
            <v>21:8,21:14</v>
          </cell>
          <cell r="AG433" t="str">
            <v>8:21,14:21</v>
          </cell>
          <cell r="AH433" t="str">
            <v/>
          </cell>
          <cell r="AI433">
            <v>8</v>
          </cell>
          <cell r="AJ433">
            <v>21</v>
          </cell>
          <cell r="AK433">
            <v>14</v>
          </cell>
          <cell r="AL433">
            <v>21</v>
          </cell>
          <cell r="AM433">
            <v>0</v>
          </cell>
          <cell r="AN433">
            <v>0</v>
          </cell>
        </row>
        <row r="434">
          <cell r="A434" t="str">
            <v/>
          </cell>
          <cell r="B434" t="str">
            <v>Wojciech MACHAJ (Mielec)</v>
          </cell>
          <cell r="H434" t="str">
            <v>M0026</v>
          </cell>
          <cell r="K434" t="str">
            <v>M0027</v>
          </cell>
          <cell r="N434" t="str">
            <v>Beata MYCEK (Nowa Dęba)</v>
          </cell>
        </row>
        <row r="435">
          <cell r="A435" t="str">
            <v/>
          </cell>
          <cell r="B435" t="str">
            <v>Patryk STOLARZ (Mielec)</v>
          </cell>
          <cell r="H435" t="str">
            <v>S0029</v>
          </cell>
          <cell r="K435" t="str">
            <v>R0013</v>
          </cell>
          <cell r="N435" t="str">
            <v>Natalia RÓG (Nowa Dęba)</v>
          </cell>
        </row>
        <row r="437">
          <cell r="B437" t="str">
            <v/>
          </cell>
          <cell r="K437" t="str">
            <v>zwycięzca(cy): 21:8,21:14</v>
          </cell>
        </row>
        <row r="438">
          <cell r="B438">
            <v>63</v>
          </cell>
          <cell r="C438" t="str">
            <v>dzień turnieju.</v>
          </cell>
          <cell r="I438" t="str">
            <v>Nr meczu</v>
          </cell>
          <cell r="N438" t="str">
            <v>Godz.</v>
          </cell>
          <cell r="R438" t="str">
            <v>S. prow.</v>
          </cell>
          <cell r="AF438" t="str">
            <v>wygrany</v>
          </cell>
          <cell r="AG438" t="str">
            <v>przegrany</v>
          </cell>
        </row>
        <row r="439">
          <cell r="B439" t="str">
            <v>Boisko</v>
          </cell>
          <cell r="C439" t="str">
            <v>Gra</v>
          </cell>
          <cell r="I439">
            <v>63</v>
          </cell>
          <cell r="N439" t="str">
            <v>rozp.</v>
          </cell>
          <cell r="P439" t="str">
            <v>zak.</v>
          </cell>
          <cell r="R439" t="str">
            <v>S. serw.</v>
          </cell>
        </row>
        <row r="440">
          <cell r="A440">
            <v>63</v>
          </cell>
          <cell r="C440" t="str">
            <v/>
          </cell>
          <cell r="H440">
            <v>21</v>
          </cell>
          <cell r="I440">
            <v>16</v>
          </cell>
          <cell r="J440">
            <v>26</v>
          </cell>
          <cell r="K440">
            <v>22</v>
          </cell>
          <cell r="R440">
            <v>0</v>
          </cell>
          <cell r="S440" t="str">
            <v>godz.14:00</v>
          </cell>
          <cell r="X440">
            <v>63</v>
          </cell>
          <cell r="Y440" t="str">
            <v/>
          </cell>
          <cell r="Z440" t="str">
            <v>J0001</v>
          </cell>
          <cell r="AA440" t="str">
            <v>M0019</v>
          </cell>
          <cell r="AB440" t="str">
            <v>G0011</v>
          </cell>
          <cell r="AC440" t="str">
            <v>J0005</v>
          </cell>
          <cell r="AD440" t="str">
            <v>J0001</v>
          </cell>
          <cell r="AE440" t="str">
            <v>M0019</v>
          </cell>
          <cell r="AF440" t="str">
            <v>21:16,26:22</v>
          </cell>
          <cell r="AG440" t="str">
            <v>16:21,22:26</v>
          </cell>
          <cell r="AH440" t="str">
            <v/>
          </cell>
          <cell r="AI440">
            <v>21</v>
          </cell>
          <cell r="AJ440">
            <v>16</v>
          </cell>
          <cell r="AK440">
            <v>26</v>
          </cell>
          <cell r="AL440">
            <v>22</v>
          </cell>
          <cell r="AM440">
            <v>0</v>
          </cell>
          <cell r="AN440">
            <v>0</v>
          </cell>
        </row>
        <row r="441">
          <cell r="A441" t="str">
            <v/>
          </cell>
          <cell r="B441" t="str">
            <v>Mateusz JĘDRZEJKO (Rzeszów)</v>
          </cell>
          <cell r="H441" t="str">
            <v>J0001</v>
          </cell>
          <cell r="K441" t="str">
            <v>G0011</v>
          </cell>
          <cell r="N441" t="str">
            <v>Jakub GERCZAK (Sanok)</v>
          </cell>
        </row>
        <row r="442">
          <cell r="A442" t="str">
            <v/>
          </cell>
          <cell r="B442" t="str">
            <v>Grzegorz MAC  (Rzeszów)</v>
          </cell>
          <cell r="H442" t="str">
            <v>M0019</v>
          </cell>
          <cell r="K442" t="str">
            <v>J0005</v>
          </cell>
          <cell r="N442" t="str">
            <v>Tomasz JENDRYASSEK (Rzeszów)</v>
          </cell>
        </row>
        <row r="444">
          <cell r="B444" t="str">
            <v>zwycięzca(cy): 21:16,26:22</v>
          </cell>
          <cell r="K444" t="str">
            <v/>
          </cell>
        </row>
        <row r="445">
          <cell r="B445">
            <v>64</v>
          </cell>
          <cell r="C445" t="str">
            <v>dzień turnieju.</v>
          </cell>
          <cell r="I445" t="str">
            <v>Nr meczu</v>
          </cell>
          <cell r="N445" t="str">
            <v>Godz.</v>
          </cell>
          <cell r="R445" t="str">
            <v>S. prow.</v>
          </cell>
          <cell r="AF445" t="str">
            <v>wygrany</v>
          </cell>
          <cell r="AG445" t="str">
            <v>przegrany</v>
          </cell>
        </row>
        <row r="446">
          <cell r="B446" t="str">
            <v>Boisko</v>
          </cell>
          <cell r="C446" t="str">
            <v>Gra</v>
          </cell>
          <cell r="I446">
            <v>64</v>
          </cell>
          <cell r="N446" t="str">
            <v>rozp.</v>
          </cell>
          <cell r="P446" t="str">
            <v>zak.</v>
          </cell>
          <cell r="R446" t="str">
            <v>S. serw.</v>
          </cell>
        </row>
        <row r="447">
          <cell r="A447">
            <v>64</v>
          </cell>
          <cell r="C447" t="str">
            <v/>
          </cell>
          <cell r="H447">
            <v>1</v>
          </cell>
          <cell r="I447">
            <v>21</v>
          </cell>
          <cell r="J447">
            <v>14</v>
          </cell>
          <cell r="K447">
            <v>21</v>
          </cell>
          <cell r="R447">
            <v>0</v>
          </cell>
          <cell r="S447" t="str">
            <v>godz.14:00</v>
          </cell>
          <cell r="X447">
            <v>64</v>
          </cell>
          <cell r="Y447" t="str">
            <v/>
          </cell>
          <cell r="Z447" t="str">
            <v>G0016</v>
          </cell>
          <cell r="AA447" t="str">
            <v>R0007</v>
          </cell>
          <cell r="AB447" t="str">
            <v>K0012</v>
          </cell>
          <cell r="AC447" t="str">
            <v>D0008</v>
          </cell>
          <cell r="AD447" t="str">
            <v>K0012</v>
          </cell>
          <cell r="AE447" t="str">
            <v>D0008</v>
          </cell>
          <cell r="AF447" t="str">
            <v>21:1,21:14</v>
          </cell>
          <cell r="AG447" t="str">
            <v>1:21,14:21</v>
          </cell>
          <cell r="AH447" t="str">
            <v/>
          </cell>
          <cell r="AI447">
            <v>1</v>
          </cell>
          <cell r="AJ447">
            <v>21</v>
          </cell>
          <cell r="AK447">
            <v>14</v>
          </cell>
          <cell r="AL447">
            <v>21</v>
          </cell>
          <cell r="AM447">
            <v>0</v>
          </cell>
          <cell r="AN447">
            <v>0</v>
          </cell>
        </row>
        <row r="448">
          <cell r="A448" t="str">
            <v/>
          </cell>
          <cell r="B448" t="str">
            <v>Wiktoria GRĄDZKA (Mielec)</v>
          </cell>
          <cell r="H448" t="str">
            <v>G0016</v>
          </cell>
          <cell r="K448" t="str">
            <v>K0012</v>
          </cell>
          <cell r="N448" t="str">
            <v>Piotr KOTERBA (Rzeszów)</v>
          </cell>
        </row>
        <row r="449">
          <cell r="A449" t="str">
            <v/>
          </cell>
          <cell r="B449" t="str">
            <v>Daria RYBIŃSKA (Mielec)</v>
          </cell>
          <cell r="H449" t="str">
            <v>R0007</v>
          </cell>
          <cell r="K449" t="str">
            <v>D0008</v>
          </cell>
          <cell r="N449" t="str">
            <v>Patrycja DOMAŃSKA (Rzeszów)</v>
          </cell>
        </row>
        <row r="451">
          <cell r="B451" t="str">
            <v/>
          </cell>
          <cell r="K451" t="str">
            <v>zwycięzca(cy): 21:1,21:14</v>
          </cell>
        </row>
        <row r="452">
          <cell r="B452">
            <v>65</v>
          </cell>
          <cell r="C452" t="str">
            <v>dzień turnieju.</v>
          </cell>
          <cell r="I452" t="str">
            <v>Nr meczu</v>
          </cell>
          <cell r="N452" t="str">
            <v>Godz.</v>
          </cell>
          <cell r="R452" t="str">
            <v>S. prow.</v>
          </cell>
          <cell r="AF452" t="str">
            <v>wygrany</v>
          </cell>
          <cell r="AG452" t="str">
            <v>przegrany</v>
          </cell>
        </row>
        <row r="453">
          <cell r="B453" t="str">
            <v>Boisko</v>
          </cell>
          <cell r="C453" t="str">
            <v>Gra</v>
          </cell>
          <cell r="I453">
            <v>65</v>
          </cell>
          <cell r="N453" t="str">
            <v>rozp.</v>
          </cell>
          <cell r="P453" t="str">
            <v>zak.</v>
          </cell>
          <cell r="R453" t="str">
            <v>S. serw.</v>
          </cell>
        </row>
        <row r="454">
          <cell r="A454">
            <v>65</v>
          </cell>
          <cell r="C454" t="str">
            <v/>
          </cell>
          <cell r="H454">
            <v>21</v>
          </cell>
          <cell r="I454">
            <v>14</v>
          </cell>
          <cell r="J454">
            <v>26</v>
          </cell>
          <cell r="K454">
            <v>24</v>
          </cell>
          <cell r="R454">
            <v>0</v>
          </cell>
          <cell r="S454" t="str">
            <v>godz.14:20</v>
          </cell>
          <cell r="X454">
            <v>65</v>
          </cell>
          <cell r="Y454" t="str">
            <v/>
          </cell>
          <cell r="Z454" t="str">
            <v>B0001</v>
          </cell>
          <cell r="AA454" t="str">
            <v>P0003</v>
          </cell>
          <cell r="AB454" t="str">
            <v>M0027</v>
          </cell>
          <cell r="AC454" t="str">
            <v>R0013</v>
          </cell>
          <cell r="AD454" t="str">
            <v>B0001</v>
          </cell>
          <cell r="AE454" t="str">
            <v>P0003</v>
          </cell>
          <cell r="AF454" t="str">
            <v>21:14,26:24</v>
          </cell>
          <cell r="AG454" t="str">
            <v>14:21,24:26</v>
          </cell>
          <cell r="AH454" t="str">
            <v/>
          </cell>
          <cell r="AI454">
            <v>21</v>
          </cell>
          <cell r="AJ454">
            <v>14</v>
          </cell>
          <cell r="AK454">
            <v>26</v>
          </cell>
          <cell r="AL454">
            <v>24</v>
          </cell>
          <cell r="AM454">
            <v>0</v>
          </cell>
          <cell r="AN454">
            <v>0</v>
          </cell>
        </row>
        <row r="455">
          <cell r="A455" t="str">
            <v/>
          </cell>
          <cell r="B455" t="str">
            <v>Maciej BARAN (Rzeszów)</v>
          </cell>
          <cell r="H455" t="str">
            <v>B0001</v>
          </cell>
          <cell r="K455" t="str">
            <v>M0027</v>
          </cell>
          <cell r="N455" t="str">
            <v>Beata MYCEK (Nowa Dęba)</v>
          </cell>
        </row>
        <row r="456">
          <cell r="A456" t="str">
            <v/>
          </cell>
          <cell r="B456" t="str">
            <v>Łukasz PIENIĄŻEK (Rzeszów)</v>
          </cell>
          <cell r="H456" t="str">
            <v>P0003</v>
          </cell>
          <cell r="K456" t="str">
            <v>R0013</v>
          </cell>
          <cell r="N456" t="str">
            <v>Natalia RÓG (Nowa Dęba)</v>
          </cell>
        </row>
        <row r="458">
          <cell r="B458" t="str">
            <v>zwycięzca(cy): 21:14,26:24</v>
          </cell>
          <cell r="K458" t="str">
            <v/>
          </cell>
        </row>
        <row r="459">
          <cell r="B459">
            <v>66</v>
          </cell>
          <cell r="C459" t="str">
            <v>dzień turnieju.</v>
          </cell>
          <cell r="I459" t="str">
            <v>Nr meczu</v>
          </cell>
          <cell r="N459" t="str">
            <v>Godz.</v>
          </cell>
          <cell r="R459" t="str">
            <v>S. prow.</v>
          </cell>
          <cell r="AF459" t="str">
            <v>wygrany</v>
          </cell>
          <cell r="AG459" t="str">
            <v>przegrany</v>
          </cell>
        </row>
        <row r="460">
          <cell r="B460" t="str">
            <v>Boisko</v>
          </cell>
          <cell r="C460" t="str">
            <v>Gra</v>
          </cell>
          <cell r="I460">
            <v>66</v>
          </cell>
          <cell r="N460" t="str">
            <v>rozp.</v>
          </cell>
          <cell r="P460" t="str">
            <v>zak.</v>
          </cell>
          <cell r="R460" t="str">
            <v>S. serw.</v>
          </cell>
        </row>
        <row r="461">
          <cell r="A461">
            <v>66</v>
          </cell>
          <cell r="C461" t="str">
            <v/>
          </cell>
          <cell r="H461">
            <v>21</v>
          </cell>
          <cell r="I461">
            <v>14</v>
          </cell>
          <cell r="J461">
            <v>21</v>
          </cell>
          <cell r="K461">
            <v>14</v>
          </cell>
          <cell r="R461">
            <v>0</v>
          </cell>
          <cell r="S461" t="str">
            <v>godz.14:20</v>
          </cell>
          <cell r="X461">
            <v>66</v>
          </cell>
          <cell r="Y461" t="str">
            <v/>
          </cell>
          <cell r="Z461" t="str">
            <v>J0001</v>
          </cell>
          <cell r="AA461" t="str">
            <v>M0019</v>
          </cell>
          <cell r="AB461" t="str">
            <v>K0012</v>
          </cell>
          <cell r="AC461" t="str">
            <v>D0008</v>
          </cell>
          <cell r="AD461" t="str">
            <v>J0001</v>
          </cell>
          <cell r="AE461" t="str">
            <v>M0019</v>
          </cell>
          <cell r="AF461" t="str">
            <v>21:14,21:14</v>
          </cell>
          <cell r="AG461" t="str">
            <v>14:21,14:21</v>
          </cell>
          <cell r="AH461" t="str">
            <v/>
          </cell>
          <cell r="AI461">
            <v>21</v>
          </cell>
          <cell r="AJ461">
            <v>14</v>
          </cell>
          <cell r="AK461">
            <v>21</v>
          </cell>
          <cell r="AL461">
            <v>14</v>
          </cell>
          <cell r="AM461">
            <v>0</v>
          </cell>
          <cell r="AN461">
            <v>0</v>
          </cell>
        </row>
        <row r="462">
          <cell r="A462" t="str">
            <v/>
          </cell>
          <cell r="B462" t="str">
            <v>Mateusz JĘDRZEJKO (Rzeszów)</v>
          </cell>
          <cell r="H462" t="str">
            <v>J0001</v>
          </cell>
          <cell r="K462" t="str">
            <v>K0012</v>
          </cell>
          <cell r="N462" t="str">
            <v>Piotr KOTERBA (Rzeszów)</v>
          </cell>
        </row>
        <row r="463">
          <cell r="A463" t="str">
            <v/>
          </cell>
          <cell r="B463" t="str">
            <v>Grzegorz MAC  (Rzeszów)</v>
          </cell>
          <cell r="H463" t="str">
            <v>M0019</v>
          </cell>
          <cell r="K463" t="str">
            <v>D0008</v>
          </cell>
          <cell r="N463" t="str">
            <v>Patrycja DOMAŃSKA (Rzeszów)</v>
          </cell>
        </row>
        <row r="465">
          <cell r="B465" t="str">
            <v>zwycięzca(cy): 21:14,21:14</v>
          </cell>
          <cell r="K465" t="str">
            <v/>
          </cell>
        </row>
        <row r="466">
          <cell r="B466">
            <v>67</v>
          </cell>
          <cell r="C466" t="str">
            <v>dzień turnieju.</v>
          </cell>
          <cell r="I466" t="str">
            <v>Nr meczu</v>
          </cell>
          <cell r="N466" t="str">
            <v>Godz.</v>
          </cell>
          <cell r="R466" t="str">
            <v>S. prow.</v>
          </cell>
          <cell r="AF466" t="str">
            <v>wygrany</v>
          </cell>
          <cell r="AG466" t="str">
            <v>przegrany</v>
          </cell>
        </row>
        <row r="467">
          <cell r="B467" t="str">
            <v>Boisko</v>
          </cell>
          <cell r="C467" t="str">
            <v>Gra</v>
          </cell>
          <cell r="I467">
            <v>67</v>
          </cell>
          <cell r="N467" t="str">
            <v>rozp.</v>
          </cell>
          <cell r="P467" t="str">
            <v>zak.</v>
          </cell>
          <cell r="R467" t="str">
            <v>S. serw.</v>
          </cell>
        </row>
        <row r="468">
          <cell r="A468">
            <v>67</v>
          </cell>
          <cell r="C468" t="str">
            <v/>
          </cell>
          <cell r="H468">
            <v>21</v>
          </cell>
          <cell r="I468">
            <v>16</v>
          </cell>
          <cell r="J468">
            <v>21</v>
          </cell>
          <cell r="K468">
            <v>14</v>
          </cell>
          <cell r="R468">
            <v>0</v>
          </cell>
          <cell r="S468" t="str">
            <v>godz.14:20</v>
          </cell>
          <cell r="X468">
            <v>67</v>
          </cell>
          <cell r="Y468" t="str">
            <v/>
          </cell>
          <cell r="Z468" t="str">
            <v>M0027</v>
          </cell>
          <cell r="AA468" t="str">
            <v>R0013</v>
          </cell>
          <cell r="AB468" t="str">
            <v>K0012</v>
          </cell>
          <cell r="AC468" t="str">
            <v>D0008</v>
          </cell>
          <cell r="AD468" t="str">
            <v>M0027</v>
          </cell>
          <cell r="AE468" t="str">
            <v>R0013</v>
          </cell>
          <cell r="AF468" t="str">
            <v>21:16,21:14</v>
          </cell>
          <cell r="AG468" t="str">
            <v>16:21,14:21</v>
          </cell>
          <cell r="AH468" t="str">
            <v/>
          </cell>
          <cell r="AI468">
            <v>21</v>
          </cell>
          <cell r="AJ468">
            <v>16</v>
          </cell>
          <cell r="AK468">
            <v>21</v>
          </cell>
          <cell r="AL468">
            <v>14</v>
          </cell>
          <cell r="AM468">
            <v>0</v>
          </cell>
          <cell r="AN468">
            <v>0</v>
          </cell>
        </row>
        <row r="469">
          <cell r="A469" t="str">
            <v/>
          </cell>
          <cell r="B469" t="str">
            <v>Beata MYCEK (Nowa Dęba)</v>
          </cell>
          <cell r="H469" t="str">
            <v>M0027</v>
          </cell>
          <cell r="K469" t="str">
            <v>K0012</v>
          </cell>
          <cell r="N469" t="str">
            <v>Piotr KOTERBA (Rzeszów)</v>
          </cell>
        </row>
        <row r="470">
          <cell r="A470" t="str">
            <v/>
          </cell>
          <cell r="B470" t="str">
            <v>Natalia RÓG (Nowa Dęba)</v>
          </cell>
          <cell r="H470" t="str">
            <v>R0013</v>
          </cell>
          <cell r="K470" t="str">
            <v>D0008</v>
          </cell>
          <cell r="N470" t="str">
            <v>Patrycja DOMAŃSKA (Rzeszów)</v>
          </cell>
        </row>
        <row r="472">
          <cell r="B472" t="str">
            <v>zwycięzca(cy): 21:16,21:14</v>
          </cell>
          <cell r="K472" t="str">
            <v/>
          </cell>
        </row>
        <row r="473">
          <cell r="B473">
            <v>68</v>
          </cell>
          <cell r="C473" t="str">
            <v>dzień turnieju.</v>
          </cell>
          <cell r="I473" t="str">
            <v>Nr meczu</v>
          </cell>
          <cell r="N473" t="str">
            <v>Godz.</v>
          </cell>
          <cell r="R473" t="str">
            <v>S. prow.</v>
          </cell>
          <cell r="AF473" t="str">
            <v>wygrany</v>
          </cell>
          <cell r="AG473" t="str">
            <v>przegrany</v>
          </cell>
        </row>
        <row r="474">
          <cell r="B474" t="str">
            <v>Boisko</v>
          </cell>
          <cell r="C474" t="str">
            <v>Gra</v>
          </cell>
          <cell r="I474">
            <v>68</v>
          </cell>
          <cell r="N474" t="str">
            <v>rozp.</v>
          </cell>
          <cell r="P474" t="str">
            <v>zak.</v>
          </cell>
          <cell r="R474" t="str">
            <v>S. serw.</v>
          </cell>
        </row>
        <row r="475">
          <cell r="A475">
            <v>68</v>
          </cell>
          <cell r="C475" t="str">
            <v/>
          </cell>
          <cell r="H475">
            <v>21</v>
          </cell>
          <cell r="I475">
            <v>12</v>
          </cell>
          <cell r="J475">
            <v>21</v>
          </cell>
          <cell r="K475">
            <v>23</v>
          </cell>
          <cell r="L475">
            <v>21</v>
          </cell>
          <cell r="M475">
            <v>18</v>
          </cell>
          <cell r="R475">
            <v>0</v>
          </cell>
          <cell r="S475" t="str">
            <v>godz.14:20</v>
          </cell>
          <cell r="X475">
            <v>68</v>
          </cell>
          <cell r="Y475" t="str">
            <v/>
          </cell>
          <cell r="Z475" t="str">
            <v>B0001</v>
          </cell>
          <cell r="AA475" t="str">
            <v>P0003</v>
          </cell>
          <cell r="AB475" t="str">
            <v>J0001</v>
          </cell>
          <cell r="AC475" t="str">
            <v>M0019</v>
          </cell>
          <cell r="AD475" t="str">
            <v>B0001</v>
          </cell>
          <cell r="AE475" t="str">
            <v>P0003</v>
          </cell>
          <cell r="AF475" t="str">
            <v>21:12,21:23,21:18</v>
          </cell>
          <cell r="AG475" t="str">
            <v>12:21,23:21,18:21</v>
          </cell>
          <cell r="AH475" t="str">
            <v/>
          </cell>
          <cell r="AI475">
            <v>21</v>
          </cell>
          <cell r="AJ475">
            <v>12</v>
          </cell>
          <cell r="AK475">
            <v>21</v>
          </cell>
          <cell r="AL475">
            <v>23</v>
          </cell>
          <cell r="AM475">
            <v>21</v>
          </cell>
          <cell r="AN475">
            <v>18</v>
          </cell>
        </row>
        <row r="476">
          <cell r="A476" t="str">
            <v/>
          </cell>
          <cell r="B476" t="str">
            <v>Maciej BARAN (Rzeszów)</v>
          </cell>
          <cell r="H476" t="str">
            <v>B0001</v>
          </cell>
          <cell r="K476" t="str">
            <v>J0001</v>
          </cell>
          <cell r="N476" t="str">
            <v>Mateusz JĘDRZEJKO (Rzeszów)</v>
          </cell>
        </row>
        <row r="477">
          <cell r="A477" t="str">
            <v/>
          </cell>
          <cell r="B477" t="str">
            <v>Łukasz PIENIĄŻEK (Rzeszów)</v>
          </cell>
          <cell r="H477" t="str">
            <v>P0003</v>
          </cell>
          <cell r="K477" t="str">
            <v>M0019</v>
          </cell>
          <cell r="N477" t="str">
            <v>Grzegorz MAC  (Rzeszów)</v>
          </cell>
        </row>
        <row r="479">
          <cell r="B479" t="str">
            <v>zwycięzca(cy): 21:12,21:23,21:18</v>
          </cell>
          <cell r="K479" t="str">
            <v/>
          </cell>
        </row>
      </sheetData>
      <sheetData sheetId="3">
        <row r="8">
          <cell r="I8" t="str">
            <v>11Runners Up</v>
          </cell>
          <cell r="J8" t="str">
            <v>N0002</v>
          </cell>
          <cell r="K8">
            <v>0</v>
          </cell>
        </row>
        <row r="10">
          <cell r="I10" t="str">
            <v>21Runners Up</v>
          </cell>
          <cell r="J10" t="str">
            <v>B0009</v>
          </cell>
          <cell r="K10">
            <v>0</v>
          </cell>
        </row>
        <row r="12">
          <cell r="I12" t="str">
            <v>31Runners Up</v>
          </cell>
          <cell r="J12" t="str">
            <v>K0012</v>
          </cell>
          <cell r="K12">
            <v>0</v>
          </cell>
        </row>
        <row r="19">
          <cell r="I19" t="str">
            <v>12Runners Up</v>
          </cell>
          <cell r="J19" t="str">
            <v>K0014</v>
          </cell>
          <cell r="K19">
            <v>0</v>
          </cell>
        </row>
        <row r="21">
          <cell r="I21" t="str">
            <v>22Runners Up</v>
          </cell>
          <cell r="J21" t="str">
            <v>R0015</v>
          </cell>
          <cell r="K21">
            <v>0</v>
          </cell>
        </row>
        <row r="23">
          <cell r="I23" t="str">
            <v>32Runners Up</v>
          </cell>
          <cell r="J23" t="str">
            <v>W0013</v>
          </cell>
          <cell r="K23">
            <v>0</v>
          </cell>
        </row>
        <row r="30">
          <cell r="I30" t="str">
            <v>13Runners Up</v>
          </cell>
          <cell r="J30" t="str">
            <v>M0026</v>
          </cell>
          <cell r="K30">
            <v>0</v>
          </cell>
        </row>
        <row r="32">
          <cell r="I32" t="str">
            <v>23Runners Up</v>
          </cell>
          <cell r="J32" t="str">
            <v>S0032</v>
          </cell>
          <cell r="K32">
            <v>0</v>
          </cell>
        </row>
        <row r="34">
          <cell r="I34" t="str">
            <v>33Runners Up</v>
          </cell>
          <cell r="J34" t="str">
            <v>S0034</v>
          </cell>
          <cell r="K34">
            <v>0</v>
          </cell>
        </row>
        <row r="41">
          <cell r="I41" t="str">
            <v>14Runners Up</v>
          </cell>
          <cell r="J41" t="str">
            <v>S0029</v>
          </cell>
          <cell r="K41">
            <v>0</v>
          </cell>
        </row>
        <row r="43">
          <cell r="I43" t="str">
            <v>24Runners Up</v>
          </cell>
          <cell r="J43" t="str">
            <v>G0013</v>
          </cell>
          <cell r="K43">
            <v>0</v>
          </cell>
        </row>
        <row r="45">
          <cell r="I45" t="str">
            <v>34Runners Up</v>
          </cell>
          <cell r="J45" t="str">
            <v>P0021</v>
          </cell>
          <cell r="K45">
            <v>0</v>
          </cell>
        </row>
        <row r="52">
          <cell r="I52" t="str">
            <v>15Runners Up</v>
          </cell>
          <cell r="J52" t="str">
            <v>M0008</v>
          </cell>
          <cell r="K52">
            <v>0</v>
          </cell>
        </row>
        <row r="54">
          <cell r="I54" t="str">
            <v>25Runners Up</v>
          </cell>
          <cell r="J54" t="str">
            <v>L0004</v>
          </cell>
          <cell r="K54">
            <v>0</v>
          </cell>
        </row>
        <row r="56">
          <cell r="I56" t="str">
            <v>35Runners Up</v>
          </cell>
          <cell r="J56" t="str">
            <v>K0038</v>
          </cell>
          <cell r="K56">
            <v>0</v>
          </cell>
        </row>
        <row r="106">
          <cell r="I106" t="str">
            <v>11Kobiet</v>
          </cell>
          <cell r="J106" t="str">
            <v>M0027</v>
          </cell>
          <cell r="K106">
            <v>0</v>
          </cell>
        </row>
        <row r="108">
          <cell r="I108" t="str">
            <v>21Kobiet</v>
          </cell>
          <cell r="J108" t="str">
            <v>N0005</v>
          </cell>
          <cell r="K108">
            <v>0</v>
          </cell>
        </row>
        <row r="110">
          <cell r="I110" t="str">
            <v>31Kobiet</v>
          </cell>
          <cell r="J110" t="str">
            <v>R0016</v>
          </cell>
          <cell r="K110">
            <v>0</v>
          </cell>
        </row>
        <row r="117">
          <cell r="I117" t="str">
            <v>12Kobiet</v>
          </cell>
          <cell r="J117" t="str">
            <v>R0013</v>
          </cell>
          <cell r="K117">
            <v>0</v>
          </cell>
        </row>
        <row r="119">
          <cell r="I119" t="str">
            <v>22Kobiet</v>
          </cell>
          <cell r="J119" t="str">
            <v>D0008</v>
          </cell>
          <cell r="K119">
            <v>0</v>
          </cell>
        </row>
        <row r="121">
          <cell r="I121" t="str">
            <v>32Kobiet</v>
          </cell>
          <cell r="J121" t="str">
            <v>G0016</v>
          </cell>
          <cell r="K121">
            <v>0</v>
          </cell>
        </row>
        <row r="168">
          <cell r="I168" t="str">
            <v>11Open</v>
          </cell>
          <cell r="J168" t="str">
            <v>P0003</v>
          </cell>
          <cell r="K168">
            <v>0</v>
          </cell>
        </row>
        <row r="170">
          <cell r="I170" t="str">
            <v>21Open</v>
          </cell>
          <cell r="J170" t="str">
            <v>K0014</v>
          </cell>
          <cell r="K170">
            <v>0</v>
          </cell>
        </row>
        <row r="172">
          <cell r="I172" t="str">
            <v>31Open</v>
          </cell>
          <cell r="J172" t="str">
            <v>M0019</v>
          </cell>
          <cell r="K172">
            <v>0</v>
          </cell>
        </row>
        <row r="174">
          <cell r="I174" t="str">
            <v>41Open</v>
          </cell>
          <cell r="J174" t="str">
            <v>J0005</v>
          </cell>
          <cell r="K174">
            <v>0</v>
          </cell>
        </row>
        <row r="182">
          <cell r="I182" t="str">
            <v>12Open</v>
          </cell>
          <cell r="J182" t="str">
            <v>B0001</v>
          </cell>
          <cell r="K182">
            <v>0</v>
          </cell>
        </row>
        <row r="184">
          <cell r="I184" t="str">
            <v>22Open</v>
          </cell>
          <cell r="J184" t="str">
            <v>I0002</v>
          </cell>
          <cell r="K184">
            <v>0</v>
          </cell>
        </row>
        <row r="186">
          <cell r="I186" t="str">
            <v>32Open</v>
          </cell>
          <cell r="J186" t="str">
            <v>J0001</v>
          </cell>
          <cell r="K186">
            <v>0</v>
          </cell>
        </row>
        <row r="188">
          <cell r="I188" t="str">
            <v>42Open</v>
          </cell>
          <cell r="J188" t="str">
            <v>G0011</v>
          </cell>
          <cell r="K188">
            <v>0</v>
          </cell>
        </row>
      </sheetData>
      <sheetData sheetId="8">
        <row r="1">
          <cell r="A1" t="str">
            <v>PZBADNR</v>
          </cell>
          <cell r="B1" t="str">
            <v>IMIĘ</v>
          </cell>
          <cell r="C1" t="str">
            <v>NAZWISKO</v>
          </cell>
          <cell r="D1" t="str">
            <v>KLUB</v>
          </cell>
          <cell r="E1" t="str">
            <v>Dane zawodników z dnia 2011-02-09</v>
          </cell>
        </row>
        <row r="2">
          <cell r="A2" t="str">
            <v>B0001</v>
          </cell>
          <cell r="B2" t="str">
            <v>Maciej</v>
          </cell>
          <cell r="C2" t="str">
            <v>BARAN</v>
          </cell>
          <cell r="D2" t="str">
            <v>Rzeszów</v>
          </cell>
        </row>
        <row r="3">
          <cell r="A3" t="str">
            <v>B0002</v>
          </cell>
          <cell r="B3" t="str">
            <v>Kinga</v>
          </cell>
          <cell r="C3" t="str">
            <v>BAZAN</v>
          </cell>
          <cell r="D3" t="str">
            <v>Sokołów Młp.</v>
          </cell>
        </row>
        <row r="4">
          <cell r="A4" t="str">
            <v>B0003</v>
          </cell>
          <cell r="B4" t="str">
            <v>Tadeusz</v>
          </cell>
          <cell r="C4" t="str">
            <v>BAZAN</v>
          </cell>
          <cell r="D4" t="str">
            <v>Sokołów Młp.</v>
          </cell>
        </row>
        <row r="5">
          <cell r="A5" t="str">
            <v>B0004</v>
          </cell>
          <cell r="B5" t="str">
            <v>Mateusz</v>
          </cell>
          <cell r="C5" t="str">
            <v>BIELASZKA</v>
          </cell>
          <cell r="D5" t="str">
            <v>Szczucin</v>
          </cell>
        </row>
        <row r="6">
          <cell r="A6" t="str">
            <v>B0005</v>
          </cell>
          <cell r="B6" t="str">
            <v>Stanisław</v>
          </cell>
          <cell r="C6" t="str">
            <v>BIELSKI </v>
          </cell>
          <cell r="D6" t="str">
            <v>Nowa Dęba</v>
          </cell>
        </row>
        <row r="7">
          <cell r="A7" t="str">
            <v>B0006</v>
          </cell>
          <cell r="B7" t="str">
            <v>Adrian</v>
          </cell>
          <cell r="C7" t="str">
            <v>BOGDAN</v>
          </cell>
          <cell r="D7" t="str">
            <v>Nowa Dęba</v>
          </cell>
        </row>
        <row r="8">
          <cell r="A8" t="str">
            <v>B0007</v>
          </cell>
          <cell r="B8" t="str">
            <v>Jakub</v>
          </cell>
          <cell r="C8" t="str">
            <v>BOJARSKI</v>
          </cell>
          <cell r="D8" t="str">
            <v>Tarnobrzeg</v>
          </cell>
        </row>
        <row r="9">
          <cell r="A9" t="str">
            <v>B0008</v>
          </cell>
          <cell r="B9" t="str">
            <v>Wojciech</v>
          </cell>
          <cell r="C9" t="str">
            <v>BUCZYŃSKI</v>
          </cell>
          <cell r="D9" t="str">
            <v>Straszęcin</v>
          </cell>
        </row>
        <row r="10">
          <cell r="A10" t="str">
            <v>B0009</v>
          </cell>
          <cell r="B10" t="str">
            <v>Adam</v>
          </cell>
          <cell r="C10" t="str">
            <v>BUNIO</v>
          </cell>
          <cell r="D10" t="str">
            <v>Nowa Dęba</v>
          </cell>
        </row>
        <row r="11">
          <cell r="A11" t="str">
            <v>B0010</v>
          </cell>
          <cell r="B11" t="str">
            <v>Tomasz</v>
          </cell>
          <cell r="C11" t="str">
            <v>BIENIEK</v>
          </cell>
          <cell r="D11" t="str">
            <v>Mielec</v>
          </cell>
        </row>
        <row r="12">
          <cell r="A12" t="str">
            <v>B0011</v>
          </cell>
          <cell r="B12" t="str">
            <v>Aleksandra</v>
          </cell>
          <cell r="C12" t="str">
            <v>BIAŁEK</v>
          </cell>
          <cell r="D12" t="str">
            <v>Widełka</v>
          </cell>
        </row>
        <row r="13">
          <cell r="A13" t="str">
            <v>B0012</v>
          </cell>
          <cell r="B13" t="str">
            <v>Wiesław</v>
          </cell>
          <cell r="C13" t="str">
            <v>BĄK</v>
          </cell>
          <cell r="D13" t="str">
            <v>Jarosław</v>
          </cell>
        </row>
        <row r="14">
          <cell r="A14" t="str">
            <v>B0013</v>
          </cell>
          <cell r="B14" t="str">
            <v>Andrzej</v>
          </cell>
          <cell r="C14" t="str">
            <v>BURLIKOWSKI</v>
          </cell>
          <cell r="D14" t="str">
            <v>Jarosław</v>
          </cell>
        </row>
        <row r="15">
          <cell r="A15" t="str">
            <v>B0014</v>
          </cell>
          <cell r="B15" t="str">
            <v>Jozsef</v>
          </cell>
          <cell r="C15" t="str">
            <v>BOZSO</v>
          </cell>
          <cell r="D15" t="str">
            <v>Szolnok (Hungary)</v>
          </cell>
        </row>
        <row r="16">
          <cell r="A16" t="str">
            <v>B0015</v>
          </cell>
          <cell r="B16" t="str">
            <v>Tomasz</v>
          </cell>
          <cell r="C16" t="str">
            <v>BARAN</v>
          </cell>
          <cell r="D16" t="str">
            <v>Krosno</v>
          </cell>
        </row>
        <row r="17">
          <cell r="A17" t="str">
            <v>B0016</v>
          </cell>
          <cell r="B17" t="str">
            <v>Krzysztof</v>
          </cell>
          <cell r="C17" t="str">
            <v>BIELSKI</v>
          </cell>
          <cell r="D17" t="str">
            <v>Krosno</v>
          </cell>
        </row>
        <row r="18">
          <cell r="A18" t="str">
            <v>B0017</v>
          </cell>
          <cell r="B18" t="str">
            <v>Krzysztof</v>
          </cell>
          <cell r="C18" t="str">
            <v>BUTRYN</v>
          </cell>
          <cell r="D18" t="str">
            <v>Stalowa Wola</v>
          </cell>
        </row>
        <row r="19">
          <cell r="A19" t="str">
            <v>B0018</v>
          </cell>
          <cell r="B19" t="str">
            <v>Jacek</v>
          </cell>
          <cell r="C19" t="str">
            <v>BEDNARZ</v>
          </cell>
          <cell r="D19" t="str">
            <v>Stalowa Wola</v>
          </cell>
        </row>
        <row r="20">
          <cell r="A20" t="str">
            <v>B0019</v>
          </cell>
          <cell r="B20" t="str">
            <v>Maciej</v>
          </cell>
          <cell r="C20" t="str">
            <v>BZYMEK-POLAŃSKI</v>
          </cell>
          <cell r="D20" t="str">
            <v>Stalowa Wola</v>
          </cell>
        </row>
        <row r="21">
          <cell r="A21" t="str">
            <v>C0001</v>
          </cell>
          <cell r="B21" t="str">
            <v>Mateusz</v>
          </cell>
          <cell r="C21" t="str">
            <v>CIURKOT</v>
          </cell>
          <cell r="D21" t="str">
            <v>Straszęcin</v>
          </cell>
        </row>
        <row r="22">
          <cell r="A22" t="str">
            <v>C0002</v>
          </cell>
          <cell r="B22" t="str">
            <v>Cezary</v>
          </cell>
          <cell r="C22" t="str">
            <v>CYNKIER</v>
          </cell>
          <cell r="D22" t="str">
            <v>Sokołów Młp.</v>
          </cell>
        </row>
        <row r="23">
          <cell r="A23" t="str">
            <v>C0003</v>
          </cell>
          <cell r="B23" t="str">
            <v>Jakub</v>
          </cell>
          <cell r="C23" t="str">
            <v>CZACHOR</v>
          </cell>
          <cell r="D23" t="str">
            <v>Mielec</v>
          </cell>
        </row>
        <row r="24">
          <cell r="A24" t="str">
            <v>C0004</v>
          </cell>
          <cell r="B24" t="str">
            <v>Mateusz</v>
          </cell>
          <cell r="C24" t="str">
            <v>CZUB</v>
          </cell>
          <cell r="D24" t="str">
            <v>Szczucin</v>
          </cell>
        </row>
        <row r="25">
          <cell r="A25" t="str">
            <v>C0005</v>
          </cell>
          <cell r="B25" t="str">
            <v>Bartosz</v>
          </cell>
          <cell r="C25" t="str">
            <v>CURZYTEK</v>
          </cell>
          <cell r="D25" t="str">
            <v>Ropczyce</v>
          </cell>
        </row>
        <row r="26">
          <cell r="A26" t="str">
            <v>C0006</v>
          </cell>
          <cell r="B26" t="str">
            <v>Mateusz</v>
          </cell>
          <cell r="C26" t="str">
            <v>CZACHOR</v>
          </cell>
          <cell r="D26" t="str">
            <v>Nowa Dęba</v>
          </cell>
        </row>
        <row r="27">
          <cell r="A27" t="str">
            <v>C0007</v>
          </cell>
          <cell r="B27" t="str">
            <v>Krystian </v>
          </cell>
          <cell r="C27" t="str">
            <v>CHRZĄŚCIK</v>
          </cell>
          <cell r="D27" t="str">
            <v>Gorlice</v>
          </cell>
        </row>
        <row r="28">
          <cell r="A28" t="str">
            <v>D0001</v>
          </cell>
          <cell r="B28" t="str">
            <v>Mariusz</v>
          </cell>
          <cell r="C28" t="str">
            <v>DEREŃ</v>
          </cell>
          <cell r="D28" t="str">
            <v>Leżajsk</v>
          </cell>
        </row>
        <row r="29">
          <cell r="A29" t="str">
            <v>D0002</v>
          </cell>
          <cell r="B29" t="str">
            <v>Aleksandra</v>
          </cell>
          <cell r="C29" t="str">
            <v>DERNOGA </v>
          </cell>
          <cell r="D29" t="str">
            <v>Szczucin</v>
          </cell>
        </row>
        <row r="30">
          <cell r="A30" t="str">
            <v>D0003</v>
          </cell>
          <cell r="B30" t="str">
            <v>Łukasz</v>
          </cell>
          <cell r="C30" t="str">
            <v>DYCHA</v>
          </cell>
          <cell r="D30" t="str">
            <v>Nowa Dęba</v>
          </cell>
        </row>
        <row r="31">
          <cell r="A31" t="str">
            <v>D0004</v>
          </cell>
          <cell r="B31" t="str">
            <v>Rafał</v>
          </cell>
          <cell r="C31" t="str">
            <v>DYCHTOŃ</v>
          </cell>
          <cell r="D31" t="str">
            <v>Tarnów</v>
          </cell>
        </row>
        <row r="32">
          <cell r="A32" t="str">
            <v>D0005</v>
          </cell>
          <cell r="B32" t="str">
            <v>Radosław</v>
          </cell>
          <cell r="C32" t="str">
            <v>DZIURA</v>
          </cell>
          <cell r="D32" t="str">
            <v>Szczucin</v>
          </cell>
        </row>
        <row r="33">
          <cell r="A33" t="str">
            <v>D0006</v>
          </cell>
          <cell r="B33" t="str">
            <v>Krzysztof</v>
          </cell>
          <cell r="C33" t="str">
            <v>DUBIEL</v>
          </cell>
          <cell r="D33" t="str">
            <v>Strzyżów</v>
          </cell>
        </row>
        <row r="34">
          <cell r="A34" t="str">
            <v>D0007</v>
          </cell>
          <cell r="B34" t="str">
            <v>Karolina</v>
          </cell>
          <cell r="C34" t="str">
            <v>DZIEKAN</v>
          </cell>
          <cell r="D34" t="str">
            <v>Mielec</v>
          </cell>
        </row>
        <row r="35">
          <cell r="A35" t="str">
            <v>D0008</v>
          </cell>
          <cell r="B35" t="str">
            <v>Patrycja</v>
          </cell>
          <cell r="C35" t="str">
            <v>DOMAŃSKA</v>
          </cell>
          <cell r="D35" t="str">
            <v>Rzeszów</v>
          </cell>
        </row>
        <row r="36">
          <cell r="A36" t="str">
            <v>D0009</v>
          </cell>
          <cell r="B36" t="str">
            <v>Adrian</v>
          </cell>
          <cell r="C36" t="str">
            <v>DZIEKAN</v>
          </cell>
          <cell r="D36" t="str">
            <v>Mielec</v>
          </cell>
        </row>
        <row r="37">
          <cell r="A37" t="str">
            <v>F0001</v>
          </cell>
          <cell r="B37" t="str">
            <v>Mariusz</v>
          </cell>
          <cell r="C37" t="str">
            <v>FERFECKI</v>
          </cell>
          <cell r="D37" t="str">
            <v>Ropczyce</v>
          </cell>
        </row>
        <row r="38">
          <cell r="A38" t="str">
            <v>F0002</v>
          </cell>
          <cell r="B38" t="str">
            <v>Wojciech</v>
          </cell>
          <cell r="C38" t="str">
            <v>FILEMONOWICZ</v>
          </cell>
          <cell r="D38" t="str">
            <v>Tarnów</v>
          </cell>
        </row>
        <row r="39">
          <cell r="A39" t="str">
            <v>F0003</v>
          </cell>
          <cell r="B39" t="str">
            <v>Grzegorz</v>
          </cell>
          <cell r="C39" t="str">
            <v>FIJAŁKOWSKI</v>
          </cell>
          <cell r="D39" t="str">
            <v>Mielec</v>
          </cell>
        </row>
        <row r="40">
          <cell r="A40" t="str">
            <v>G0001</v>
          </cell>
          <cell r="B40" t="str">
            <v>Agnieszka</v>
          </cell>
          <cell r="C40" t="str">
            <v>GAWEŁ</v>
          </cell>
          <cell r="D40" t="str">
            <v>Widełka</v>
          </cell>
        </row>
        <row r="41">
          <cell r="A41" t="str">
            <v>G0002</v>
          </cell>
          <cell r="B41" t="str">
            <v>Jarosław</v>
          </cell>
          <cell r="C41" t="str">
            <v>GÓRSKI</v>
          </cell>
          <cell r="D41" t="str">
            <v>Gorlice</v>
          </cell>
        </row>
        <row r="42">
          <cell r="A42" t="str">
            <v>G0003</v>
          </cell>
          <cell r="B42" t="str">
            <v>Marcin</v>
          </cell>
          <cell r="C42" t="str">
            <v>GRUSZKOWSKI</v>
          </cell>
          <cell r="D42" t="str">
            <v>Gorlice</v>
          </cell>
        </row>
        <row r="43">
          <cell r="A43" t="str">
            <v>G0004</v>
          </cell>
          <cell r="B43" t="str">
            <v>Marcin</v>
          </cell>
          <cell r="C43" t="str">
            <v>GZYL</v>
          </cell>
          <cell r="D43" t="str">
            <v>Tarnów</v>
          </cell>
        </row>
        <row r="44">
          <cell r="A44" t="str">
            <v>G0005</v>
          </cell>
          <cell r="B44" t="str">
            <v>Bogdan</v>
          </cell>
          <cell r="C44" t="str">
            <v>GUNIA</v>
          </cell>
          <cell r="D44" t="str">
            <v>Nowa Dęba</v>
          </cell>
        </row>
        <row r="45">
          <cell r="A45" t="str">
            <v>G0006</v>
          </cell>
          <cell r="B45" t="str">
            <v>Cyprian</v>
          </cell>
          <cell r="C45" t="str">
            <v>GERWATOWSKI</v>
          </cell>
          <cell r="D45" t="str">
            <v>Kraków</v>
          </cell>
        </row>
        <row r="46">
          <cell r="A46" t="str">
            <v>G0007</v>
          </cell>
          <cell r="B46" t="str">
            <v>Wojciech</v>
          </cell>
          <cell r="C46" t="str">
            <v>GAWROŃSKI</v>
          </cell>
          <cell r="D46" t="str">
            <v>Kraków</v>
          </cell>
        </row>
        <row r="47">
          <cell r="A47" t="str">
            <v>G0008</v>
          </cell>
          <cell r="B47" t="str">
            <v>Marcin</v>
          </cell>
          <cell r="C47" t="str">
            <v>GRZEGORSKI</v>
          </cell>
          <cell r="D47" t="str">
            <v>Ropczyce</v>
          </cell>
        </row>
        <row r="48">
          <cell r="A48" t="str">
            <v>G0009</v>
          </cell>
          <cell r="B48" t="str">
            <v>Mateusz</v>
          </cell>
          <cell r="C48" t="str">
            <v>GOLATOWSKI</v>
          </cell>
          <cell r="D48" t="str">
            <v>Przemyśl</v>
          </cell>
        </row>
        <row r="49">
          <cell r="A49" t="str">
            <v>G0010</v>
          </cell>
          <cell r="B49" t="str">
            <v>Przemysław</v>
          </cell>
          <cell r="C49" t="str">
            <v>GRZESZKOWIAK</v>
          </cell>
          <cell r="D49" t="str">
            <v>Warszawa</v>
          </cell>
        </row>
        <row r="50">
          <cell r="A50" t="str">
            <v>G0011</v>
          </cell>
          <cell r="B50" t="str">
            <v>Jakub</v>
          </cell>
          <cell r="C50" t="str">
            <v>GERCZAK</v>
          </cell>
          <cell r="D50" t="str">
            <v>Sanok</v>
          </cell>
        </row>
        <row r="51">
          <cell r="A51" t="str">
            <v>G0012</v>
          </cell>
          <cell r="B51" t="str">
            <v>Joanna</v>
          </cell>
          <cell r="C51" t="str">
            <v>GRZESIAK</v>
          </cell>
          <cell r="D51" t="str">
            <v>Szczucin</v>
          </cell>
        </row>
        <row r="52">
          <cell r="A52" t="str">
            <v>G0013</v>
          </cell>
          <cell r="B52" t="str">
            <v>Bartosz</v>
          </cell>
          <cell r="C52" t="str">
            <v>GROCHOCKI</v>
          </cell>
          <cell r="D52" t="str">
            <v>Mielec</v>
          </cell>
        </row>
        <row r="53">
          <cell r="A53" t="str">
            <v>G0014</v>
          </cell>
          <cell r="B53" t="str">
            <v>Eryk</v>
          </cell>
          <cell r="C53" t="str">
            <v>GŁOWACKI</v>
          </cell>
          <cell r="D53" t="str">
            <v>Jasło</v>
          </cell>
        </row>
        <row r="54">
          <cell r="A54" t="str">
            <v>G0015</v>
          </cell>
          <cell r="B54" t="str">
            <v>Piotr</v>
          </cell>
          <cell r="C54" t="str">
            <v>GŁOWACKI</v>
          </cell>
          <cell r="D54" t="str">
            <v>Jasło</v>
          </cell>
        </row>
        <row r="55">
          <cell r="A55" t="str">
            <v>G0016</v>
          </cell>
          <cell r="B55" t="str">
            <v>Wiktoria</v>
          </cell>
          <cell r="C55" t="str">
            <v>GRĄDZKA</v>
          </cell>
          <cell r="D55" t="str">
            <v>Mielec</v>
          </cell>
        </row>
        <row r="56">
          <cell r="A56" t="str">
            <v>H0001</v>
          </cell>
          <cell r="B56" t="str">
            <v>Krzysztof</v>
          </cell>
          <cell r="C56" t="str">
            <v>HAŁKA</v>
          </cell>
          <cell r="D56" t="str">
            <v>Nowa Dęba</v>
          </cell>
        </row>
        <row r="57">
          <cell r="A57" t="str">
            <v>H0002</v>
          </cell>
          <cell r="B57" t="str">
            <v>Maria</v>
          </cell>
          <cell r="C57" t="str">
            <v>HAŁKA</v>
          </cell>
          <cell r="D57" t="str">
            <v>Nowa Dęba</v>
          </cell>
        </row>
        <row r="58">
          <cell r="A58" t="str">
            <v>H0003</v>
          </cell>
          <cell r="B58" t="str">
            <v>Lidia</v>
          </cell>
          <cell r="C58" t="str">
            <v>HASSMAN</v>
          </cell>
          <cell r="D58" t="str">
            <v>Sokołów Młp.</v>
          </cell>
        </row>
        <row r="59">
          <cell r="A59" t="str">
            <v>H0004</v>
          </cell>
          <cell r="B59" t="str">
            <v>Monika</v>
          </cell>
          <cell r="C59" t="str">
            <v>HONKOWICZ</v>
          </cell>
          <cell r="D59" t="str">
            <v>Gorlice</v>
          </cell>
        </row>
        <row r="60">
          <cell r="A60" t="str">
            <v>H0005</v>
          </cell>
          <cell r="B60" t="str">
            <v>Filip</v>
          </cell>
          <cell r="C60" t="str">
            <v>HOŁOWICKI</v>
          </cell>
          <cell r="D60" t="str">
            <v>Mielec</v>
          </cell>
        </row>
        <row r="61">
          <cell r="A61" t="str">
            <v>H0006</v>
          </cell>
          <cell r="B61" t="str">
            <v>Natalia</v>
          </cell>
          <cell r="C61" t="str">
            <v>HAŁATA</v>
          </cell>
          <cell r="D61" t="str">
            <v>Mielec</v>
          </cell>
        </row>
        <row r="62">
          <cell r="A62" t="str">
            <v>I0001</v>
          </cell>
          <cell r="B62" t="str">
            <v>Michał</v>
          </cell>
          <cell r="C62" t="str">
            <v>IWANIEC</v>
          </cell>
          <cell r="D62" t="str">
            <v>Tarnów</v>
          </cell>
        </row>
        <row r="63">
          <cell r="A63" t="str">
            <v>I0002</v>
          </cell>
          <cell r="B63" t="str">
            <v>Igor</v>
          </cell>
          <cell r="C63" t="str">
            <v>IWAŃSKI</v>
          </cell>
          <cell r="D63" t="str">
            <v>Mielec</v>
          </cell>
        </row>
        <row r="64">
          <cell r="A64" t="str">
            <v>J0001</v>
          </cell>
          <cell r="B64" t="str">
            <v>Mateusz</v>
          </cell>
          <cell r="C64" t="str">
            <v>JĘDRZEJKO</v>
          </cell>
          <cell r="D64" t="str">
            <v>Rzeszów</v>
          </cell>
        </row>
        <row r="65">
          <cell r="A65" t="str">
            <v>J0002</v>
          </cell>
          <cell r="B65" t="str">
            <v>Bartosz</v>
          </cell>
          <cell r="C65" t="str">
            <v>JABŁOŃSKI</v>
          </cell>
          <cell r="D65" t="str">
            <v>Połaniec</v>
          </cell>
        </row>
        <row r="66">
          <cell r="A66" t="str">
            <v>J0003</v>
          </cell>
          <cell r="B66" t="str">
            <v>Paulina</v>
          </cell>
          <cell r="C66" t="str">
            <v>JANUS</v>
          </cell>
          <cell r="D66" t="str">
            <v>Mielec</v>
          </cell>
        </row>
        <row r="67">
          <cell r="A67" t="str">
            <v>J0004</v>
          </cell>
          <cell r="B67" t="str">
            <v>Patryk</v>
          </cell>
          <cell r="C67" t="str">
            <v>JUREK</v>
          </cell>
          <cell r="D67" t="str">
            <v>Stalowa Wola</v>
          </cell>
        </row>
        <row r="68">
          <cell r="A68" t="str">
            <v>J0005</v>
          </cell>
          <cell r="B68" t="str">
            <v>Tomasz</v>
          </cell>
          <cell r="C68" t="str">
            <v>JENDRYASSEK</v>
          </cell>
          <cell r="D68" t="str">
            <v>Rzeszów</v>
          </cell>
        </row>
        <row r="69">
          <cell r="A69" t="str">
            <v>K0001</v>
          </cell>
          <cell r="B69" t="str">
            <v>Marcin</v>
          </cell>
          <cell r="C69" t="str">
            <v>KALTENBERG</v>
          </cell>
          <cell r="D69" t="str">
            <v>Tarnobrzeg</v>
          </cell>
        </row>
        <row r="70">
          <cell r="A70" t="str">
            <v>K0002</v>
          </cell>
          <cell r="B70" t="str">
            <v>Mirosław</v>
          </cell>
          <cell r="C70" t="str">
            <v>KARKUT</v>
          </cell>
          <cell r="D70" t="str">
            <v>Widełka</v>
          </cell>
        </row>
        <row r="71">
          <cell r="A71" t="str">
            <v>K0003</v>
          </cell>
          <cell r="B71" t="str">
            <v>Robert</v>
          </cell>
          <cell r="C71" t="str">
            <v>KARNASIEWICZ</v>
          </cell>
          <cell r="D71" t="str">
            <v>Mielec</v>
          </cell>
        </row>
        <row r="72">
          <cell r="A72" t="str">
            <v>K0004</v>
          </cell>
          <cell r="B72" t="str">
            <v>Kinga</v>
          </cell>
          <cell r="C72" t="str">
            <v>KATRA</v>
          </cell>
          <cell r="D72" t="str">
            <v>Nowa Dęba</v>
          </cell>
        </row>
        <row r="73">
          <cell r="A73" t="str">
            <v>K0005</v>
          </cell>
          <cell r="B73" t="str">
            <v>Leszek</v>
          </cell>
          <cell r="C73" t="str">
            <v>KIWAK</v>
          </cell>
          <cell r="D73" t="str">
            <v>Kolbuszowa</v>
          </cell>
        </row>
        <row r="74">
          <cell r="A74" t="str">
            <v>K0006</v>
          </cell>
          <cell r="B74" t="str">
            <v>Klaudia</v>
          </cell>
          <cell r="C74" t="str">
            <v>KLIŚ</v>
          </cell>
          <cell r="D74" t="str">
            <v>Szczucin</v>
          </cell>
        </row>
        <row r="75">
          <cell r="A75" t="str">
            <v>K0007</v>
          </cell>
          <cell r="B75" t="str">
            <v>Jerzy</v>
          </cell>
          <cell r="C75" t="str">
            <v>KNOT</v>
          </cell>
          <cell r="D75" t="str">
            <v>Gorlice</v>
          </cell>
        </row>
        <row r="76">
          <cell r="A76" t="str">
            <v>K0008</v>
          </cell>
          <cell r="B76" t="str">
            <v>Maciej</v>
          </cell>
          <cell r="C76" t="str">
            <v>KNOT</v>
          </cell>
          <cell r="D76" t="str">
            <v>Gorlice</v>
          </cell>
        </row>
        <row r="77">
          <cell r="A77" t="str">
            <v>K0009</v>
          </cell>
          <cell r="B77" t="str">
            <v>Filip</v>
          </cell>
          <cell r="C77" t="str">
            <v>KOC</v>
          </cell>
          <cell r="D77" t="str">
            <v>Sokołów Młp.</v>
          </cell>
        </row>
        <row r="78">
          <cell r="A78" t="str">
            <v>K0010</v>
          </cell>
          <cell r="B78" t="str">
            <v>Łukasz</v>
          </cell>
          <cell r="C78" t="str">
            <v>KOŚCIÓŁEK</v>
          </cell>
          <cell r="D78" t="str">
            <v>Sokołów Młp.</v>
          </cell>
        </row>
        <row r="79">
          <cell r="A79" t="str">
            <v>K0011</v>
          </cell>
          <cell r="B79" t="str">
            <v>Bartłomiej</v>
          </cell>
          <cell r="C79" t="str">
            <v>KOŚMIDER</v>
          </cell>
          <cell r="D79" t="str">
            <v>Szczucin</v>
          </cell>
        </row>
        <row r="80">
          <cell r="A80" t="str">
            <v>K0012</v>
          </cell>
          <cell r="B80" t="str">
            <v>Piotr</v>
          </cell>
          <cell r="C80" t="str">
            <v>KOTERBA</v>
          </cell>
          <cell r="D80" t="str">
            <v>Rzeszów</v>
          </cell>
        </row>
        <row r="81">
          <cell r="A81" t="str">
            <v>K0013</v>
          </cell>
          <cell r="B81" t="str">
            <v>Paweł</v>
          </cell>
          <cell r="C81" t="str">
            <v>KSIĄŻEK</v>
          </cell>
          <cell r="D81" t="str">
            <v>Straszęcin</v>
          </cell>
        </row>
        <row r="82">
          <cell r="A82" t="str">
            <v>K0014</v>
          </cell>
          <cell r="B82" t="str">
            <v>Zdzisław</v>
          </cell>
          <cell r="C82" t="str">
            <v>KULA </v>
          </cell>
          <cell r="D82" t="str">
            <v>Tarnów</v>
          </cell>
        </row>
        <row r="83">
          <cell r="A83" t="str">
            <v>K0015</v>
          </cell>
          <cell r="B83" t="str">
            <v>Wojciech</v>
          </cell>
          <cell r="C83" t="str">
            <v>KURZYŃSKI</v>
          </cell>
          <cell r="D83" t="str">
            <v>Tarnobrzeg</v>
          </cell>
        </row>
        <row r="84">
          <cell r="A84" t="str">
            <v>K0016</v>
          </cell>
          <cell r="B84" t="str">
            <v>Bernadetta</v>
          </cell>
          <cell r="C84" t="str">
            <v>KUTACHA</v>
          </cell>
          <cell r="D84" t="str">
            <v>Widełka</v>
          </cell>
        </row>
        <row r="85">
          <cell r="A85" t="str">
            <v>K0017</v>
          </cell>
          <cell r="B85" t="str">
            <v>Mateusz</v>
          </cell>
          <cell r="C85" t="str">
            <v>KWIATKOWSKI</v>
          </cell>
          <cell r="D85" t="str">
            <v>Tarnobrzeg</v>
          </cell>
        </row>
        <row r="86">
          <cell r="A86" t="str">
            <v>K0018</v>
          </cell>
          <cell r="B86" t="str">
            <v>Paweł</v>
          </cell>
          <cell r="C86" t="str">
            <v>KOT </v>
          </cell>
          <cell r="D86" t="str">
            <v>Nowa Dęba</v>
          </cell>
        </row>
        <row r="87">
          <cell r="A87" t="str">
            <v>K0019</v>
          </cell>
          <cell r="B87" t="str">
            <v>Krystian</v>
          </cell>
          <cell r="C87" t="str">
            <v>KOŁODZIEJ</v>
          </cell>
          <cell r="D87" t="str">
            <v>Sokołów Młp.</v>
          </cell>
        </row>
        <row r="88">
          <cell r="A88" t="str">
            <v>K0020</v>
          </cell>
          <cell r="B88" t="str">
            <v>Konrad</v>
          </cell>
          <cell r="C88" t="str">
            <v>KONASZEWSKI</v>
          </cell>
          <cell r="D88" t="str">
            <v>Rzeszów</v>
          </cell>
        </row>
        <row r="89">
          <cell r="A89" t="str">
            <v>K0021</v>
          </cell>
          <cell r="B89" t="str">
            <v>Lucjan</v>
          </cell>
          <cell r="C89" t="str">
            <v>KONASZEWSKI</v>
          </cell>
          <cell r="D89" t="str">
            <v>Rzeszów</v>
          </cell>
        </row>
        <row r="90">
          <cell r="A90" t="str">
            <v>K0022</v>
          </cell>
          <cell r="B90" t="str">
            <v>Hubert</v>
          </cell>
          <cell r="C90" t="str">
            <v>KUKOWSKI</v>
          </cell>
          <cell r="D90" t="str">
            <v>Mielec</v>
          </cell>
        </row>
        <row r="91">
          <cell r="A91" t="str">
            <v>K0023</v>
          </cell>
          <cell r="B91" t="str">
            <v>Lucjan</v>
          </cell>
          <cell r="C91" t="str">
            <v>KAWAŁEK</v>
          </cell>
          <cell r="D91" t="str">
            <v>Gorlice</v>
          </cell>
        </row>
        <row r="92">
          <cell r="A92" t="str">
            <v>K0024</v>
          </cell>
          <cell r="B92" t="str">
            <v>Wojciech</v>
          </cell>
          <cell r="C92" t="str">
            <v>KRAUS</v>
          </cell>
          <cell r="D92" t="str">
            <v>Gorlice</v>
          </cell>
        </row>
        <row r="93">
          <cell r="A93" t="str">
            <v>K0025</v>
          </cell>
          <cell r="B93" t="str">
            <v>Marek</v>
          </cell>
          <cell r="C93" t="str">
            <v>KOTOWICZ</v>
          </cell>
          <cell r="D93" t="str">
            <v>Gorlice</v>
          </cell>
        </row>
        <row r="94">
          <cell r="A94" t="str">
            <v>K0026</v>
          </cell>
          <cell r="B94" t="str">
            <v>Kamil</v>
          </cell>
          <cell r="C94" t="str">
            <v>KRUKOWSKI</v>
          </cell>
          <cell r="D94" t="str">
            <v>Nowa Dęba</v>
          </cell>
        </row>
        <row r="95">
          <cell r="A95" t="str">
            <v>K0027</v>
          </cell>
          <cell r="B95" t="str">
            <v>Miłosz</v>
          </cell>
          <cell r="C95" t="str">
            <v>KUKUŁA</v>
          </cell>
          <cell r="D95" t="str">
            <v>Gorlice</v>
          </cell>
        </row>
        <row r="96">
          <cell r="A96" t="str">
            <v>K0028</v>
          </cell>
          <cell r="B96" t="str">
            <v>Katarzyna</v>
          </cell>
          <cell r="C96" t="str">
            <v>KUTACHA</v>
          </cell>
          <cell r="D96" t="str">
            <v>Widełka</v>
          </cell>
        </row>
        <row r="97">
          <cell r="A97" t="str">
            <v>K0029</v>
          </cell>
          <cell r="B97" t="str">
            <v>Patryk</v>
          </cell>
          <cell r="C97" t="str">
            <v>KOPEĆ</v>
          </cell>
          <cell r="D97" t="str">
            <v>Nowa Dęba</v>
          </cell>
        </row>
        <row r="98">
          <cell r="A98" t="str">
            <v>K0030</v>
          </cell>
          <cell r="B98" t="str">
            <v>Paweł</v>
          </cell>
          <cell r="C98" t="str">
            <v>KOPAŃSKI</v>
          </cell>
          <cell r="D98" t="str">
            <v>Widełka</v>
          </cell>
        </row>
        <row r="99">
          <cell r="A99" t="str">
            <v>K0031</v>
          </cell>
          <cell r="B99" t="str">
            <v>Wiktoria</v>
          </cell>
          <cell r="C99" t="str">
            <v>KAPINOS</v>
          </cell>
          <cell r="D99" t="str">
            <v>Mielec</v>
          </cell>
        </row>
        <row r="100">
          <cell r="A100" t="str">
            <v>K0032</v>
          </cell>
          <cell r="B100" t="str">
            <v>Paweł</v>
          </cell>
          <cell r="C100" t="str">
            <v>KACZOR</v>
          </cell>
          <cell r="D100" t="str">
            <v>Nowa Dęba</v>
          </cell>
        </row>
        <row r="101">
          <cell r="A101" t="str">
            <v>K0033</v>
          </cell>
          <cell r="B101" t="str">
            <v>Marek</v>
          </cell>
          <cell r="C101" t="str">
            <v>KAMIŃSKI</v>
          </cell>
          <cell r="D101" t="str">
            <v>Nowa Dęba</v>
          </cell>
        </row>
        <row r="102">
          <cell r="A102" t="str">
            <v>K0034</v>
          </cell>
          <cell r="B102" t="str">
            <v>Marcin</v>
          </cell>
          <cell r="C102" t="str">
            <v>KOWALIK</v>
          </cell>
          <cell r="D102" t="str">
            <v>Rzeszów</v>
          </cell>
        </row>
        <row r="103">
          <cell r="A103" t="str">
            <v>K0035</v>
          </cell>
          <cell r="B103" t="str">
            <v>Maciej</v>
          </cell>
          <cell r="C103" t="str">
            <v>KOZIEŁ</v>
          </cell>
          <cell r="D103" t="str">
            <v>Myślenice</v>
          </cell>
        </row>
        <row r="104">
          <cell r="A104" t="str">
            <v>K0036</v>
          </cell>
          <cell r="B104" t="str">
            <v>Tomasz </v>
          </cell>
          <cell r="C104" t="str">
            <v>KNOPEK</v>
          </cell>
          <cell r="D104" t="str">
            <v>Kraków</v>
          </cell>
        </row>
        <row r="105">
          <cell r="A105" t="str">
            <v>K0037</v>
          </cell>
          <cell r="B105" t="str">
            <v>Mateusz</v>
          </cell>
          <cell r="C105" t="str">
            <v>KRUPA</v>
          </cell>
          <cell r="D105" t="str">
            <v>Mielec</v>
          </cell>
        </row>
        <row r="106">
          <cell r="A106" t="str">
            <v>K0038</v>
          </cell>
          <cell r="B106" t="str">
            <v>Wojciech</v>
          </cell>
          <cell r="C106" t="str">
            <v>KWOLEK</v>
          </cell>
          <cell r="D106" t="str">
            <v>Mielec</v>
          </cell>
        </row>
        <row r="107">
          <cell r="A107" t="str">
            <v>K0039</v>
          </cell>
          <cell r="B107" t="str">
            <v>Łukasz</v>
          </cell>
          <cell r="C107" t="str">
            <v>KOTWICA</v>
          </cell>
          <cell r="D107" t="str">
            <v>Stalowa Wola</v>
          </cell>
        </row>
        <row r="108">
          <cell r="A108" t="str">
            <v>K0040</v>
          </cell>
          <cell r="B108" t="str">
            <v>Władysław</v>
          </cell>
          <cell r="C108" t="str">
            <v>KRUK</v>
          </cell>
          <cell r="D108" t="str">
            <v>Ropczyce</v>
          </cell>
        </row>
        <row r="109">
          <cell r="A109" t="str">
            <v>L0001</v>
          </cell>
          <cell r="B109" t="str">
            <v>Marek</v>
          </cell>
          <cell r="C109" t="str">
            <v>LEŚ</v>
          </cell>
          <cell r="D109" t="str">
            <v>Mielec</v>
          </cell>
        </row>
        <row r="110">
          <cell r="A110" t="str">
            <v>L0002</v>
          </cell>
          <cell r="B110" t="str">
            <v>Tomasz</v>
          </cell>
          <cell r="C110" t="str">
            <v>LEGENY</v>
          </cell>
          <cell r="D110" t="str">
            <v>Jarosław</v>
          </cell>
        </row>
        <row r="111">
          <cell r="A111" t="str">
            <v>L0003</v>
          </cell>
          <cell r="B111" t="str">
            <v>Marcin</v>
          </cell>
          <cell r="C111" t="str">
            <v>LISZKA</v>
          </cell>
          <cell r="D111" t="str">
            <v>Gorlice</v>
          </cell>
        </row>
        <row r="112">
          <cell r="A112" t="str">
            <v>L0004</v>
          </cell>
          <cell r="B112" t="str">
            <v>Rafał</v>
          </cell>
          <cell r="C112" t="str">
            <v>LEJKO</v>
          </cell>
          <cell r="D112" t="str">
            <v>Nowa Dęba</v>
          </cell>
        </row>
        <row r="113">
          <cell r="A113" t="str">
            <v>Ł0001</v>
          </cell>
          <cell r="B113" t="str">
            <v>Łukasz</v>
          </cell>
          <cell r="C113" t="str">
            <v>ŁABUZ</v>
          </cell>
          <cell r="D113" t="str">
            <v>Szczucin</v>
          </cell>
        </row>
        <row r="114">
          <cell r="A114" t="str">
            <v>Ł0002</v>
          </cell>
          <cell r="B114" t="str">
            <v>Wojciech</v>
          </cell>
          <cell r="C114" t="str">
            <v>ŁABUZ</v>
          </cell>
          <cell r="D114" t="str">
            <v>Szczucin</v>
          </cell>
        </row>
        <row r="115">
          <cell r="A115" t="str">
            <v>Ł0003</v>
          </cell>
          <cell r="B115" t="str">
            <v>Piotr</v>
          </cell>
          <cell r="C115" t="str">
            <v>ŁUKASIK</v>
          </cell>
          <cell r="D115" t="str">
            <v>Gorlice</v>
          </cell>
        </row>
        <row r="116">
          <cell r="A116" t="str">
            <v>M0001</v>
          </cell>
          <cell r="B116" t="str">
            <v>Paulina</v>
          </cell>
          <cell r="C116" t="str">
            <v>MACIEJEWSKA</v>
          </cell>
          <cell r="D116" t="str">
            <v>Tarnów</v>
          </cell>
        </row>
        <row r="117">
          <cell r="A117" t="str">
            <v>M0002</v>
          </cell>
          <cell r="B117" t="str">
            <v>Michał</v>
          </cell>
          <cell r="C117" t="str">
            <v>MAGDZIAK</v>
          </cell>
          <cell r="D117" t="str">
            <v>Szczucin</v>
          </cell>
        </row>
        <row r="118">
          <cell r="A118" t="str">
            <v>M0003</v>
          </cell>
          <cell r="B118" t="str">
            <v>Patrycja</v>
          </cell>
          <cell r="C118" t="str">
            <v>MAKOCKA</v>
          </cell>
          <cell r="D118" t="str">
            <v>Mielec</v>
          </cell>
        </row>
        <row r="119">
          <cell r="A119" t="str">
            <v>M0004</v>
          </cell>
          <cell r="B119" t="str">
            <v>Antoni</v>
          </cell>
          <cell r="C119" t="str">
            <v>MALCHAREK</v>
          </cell>
          <cell r="D119" t="str">
            <v>Nowa Dęba</v>
          </cell>
        </row>
        <row r="120">
          <cell r="A120" t="str">
            <v>M0005</v>
          </cell>
          <cell r="B120" t="str">
            <v>Piotr</v>
          </cell>
          <cell r="C120" t="str">
            <v>MALIK</v>
          </cell>
          <cell r="D120" t="str">
            <v>Tarnobrzeg</v>
          </cell>
        </row>
        <row r="121">
          <cell r="A121" t="str">
            <v>M0006</v>
          </cell>
          <cell r="B121" t="str">
            <v>Szymon</v>
          </cell>
          <cell r="C121" t="str">
            <v>MALIK</v>
          </cell>
          <cell r="D121" t="str">
            <v>Tarnobrzeg</v>
          </cell>
        </row>
        <row r="122">
          <cell r="A122" t="str">
            <v>M0007</v>
          </cell>
          <cell r="B122" t="str">
            <v>Maciej</v>
          </cell>
          <cell r="C122" t="str">
            <v>MATUSIK</v>
          </cell>
          <cell r="D122" t="str">
            <v>Ropczyce</v>
          </cell>
        </row>
        <row r="123">
          <cell r="A123" t="str">
            <v>M0008</v>
          </cell>
          <cell r="B123" t="str">
            <v>Tadeusz</v>
          </cell>
          <cell r="C123" t="str">
            <v>MICHALIK</v>
          </cell>
          <cell r="D123" t="str">
            <v>Tarnów</v>
          </cell>
        </row>
        <row r="124">
          <cell r="A124" t="str">
            <v>M0009</v>
          </cell>
          <cell r="B124" t="str">
            <v>Robert</v>
          </cell>
          <cell r="C124" t="str">
            <v>MIKA</v>
          </cell>
          <cell r="D124" t="str">
            <v>Gorlice</v>
          </cell>
        </row>
        <row r="125">
          <cell r="A125" t="str">
            <v>M0010</v>
          </cell>
          <cell r="B125" t="str">
            <v>Jarosław</v>
          </cell>
          <cell r="C125" t="str">
            <v>MIOTŁA</v>
          </cell>
          <cell r="D125" t="str">
            <v>Mielec</v>
          </cell>
        </row>
        <row r="126">
          <cell r="A126" t="str">
            <v>M0011</v>
          </cell>
          <cell r="B126" t="str">
            <v>Karol</v>
          </cell>
          <cell r="C126" t="str">
            <v>MĄCZYŃSKI</v>
          </cell>
          <cell r="D126" t="str">
            <v>Mielec</v>
          </cell>
        </row>
        <row r="127">
          <cell r="A127" t="str">
            <v>M0012</v>
          </cell>
          <cell r="B127" t="str">
            <v>Jarosław</v>
          </cell>
          <cell r="C127" t="str">
            <v>MAZUR</v>
          </cell>
          <cell r="D127" t="str">
            <v>Mielec</v>
          </cell>
        </row>
        <row r="128">
          <cell r="A128" t="str">
            <v>M0013</v>
          </cell>
          <cell r="B128" t="str">
            <v>Mariusz</v>
          </cell>
          <cell r="C128" t="str">
            <v>MASZTAFIAK</v>
          </cell>
          <cell r="D128" t="str">
            <v>Gorlice</v>
          </cell>
        </row>
        <row r="129">
          <cell r="A129" t="str">
            <v>M0014</v>
          </cell>
          <cell r="B129" t="str">
            <v>Dariusz</v>
          </cell>
          <cell r="C129" t="str">
            <v>MAZUR</v>
          </cell>
          <cell r="D129" t="str">
            <v>Mielec</v>
          </cell>
        </row>
        <row r="130">
          <cell r="A130" t="str">
            <v>M0015</v>
          </cell>
          <cell r="B130" t="str">
            <v>Michał</v>
          </cell>
          <cell r="C130" t="str">
            <v>MROZEK</v>
          </cell>
          <cell r="D130" t="str">
            <v>Gorlice</v>
          </cell>
        </row>
        <row r="131">
          <cell r="A131" t="str">
            <v>M0016</v>
          </cell>
          <cell r="B131" t="str">
            <v>Rafał</v>
          </cell>
          <cell r="C131" t="str">
            <v>MARKOWICZ</v>
          </cell>
          <cell r="D131" t="str">
            <v>Gorlice</v>
          </cell>
        </row>
        <row r="132">
          <cell r="A132" t="str">
            <v>M0017</v>
          </cell>
          <cell r="B132" t="str">
            <v>Małgorzata</v>
          </cell>
          <cell r="C132" t="str">
            <v>MROZEK</v>
          </cell>
          <cell r="D132" t="str">
            <v>Gorlice</v>
          </cell>
        </row>
        <row r="133">
          <cell r="A133" t="str">
            <v>M0018</v>
          </cell>
          <cell r="B133" t="str">
            <v>Karolina</v>
          </cell>
          <cell r="C133" t="str">
            <v>MORDAWSKA</v>
          </cell>
          <cell r="D133" t="str">
            <v>Gorlice</v>
          </cell>
        </row>
        <row r="134">
          <cell r="A134" t="str">
            <v>M0019</v>
          </cell>
          <cell r="B134" t="str">
            <v>Grzegorz</v>
          </cell>
          <cell r="C134" t="str">
            <v>MAC </v>
          </cell>
          <cell r="D134" t="str">
            <v>Rzeszów</v>
          </cell>
        </row>
        <row r="135">
          <cell r="A135" t="str">
            <v>M0020</v>
          </cell>
          <cell r="B135" t="str">
            <v>Tomasz</v>
          </cell>
          <cell r="C135" t="str">
            <v>MALCHAREK</v>
          </cell>
          <cell r="D135" t="str">
            <v>New Jersey</v>
          </cell>
        </row>
        <row r="136">
          <cell r="A136" t="str">
            <v>M0021</v>
          </cell>
          <cell r="B136" t="str">
            <v>Jerzy</v>
          </cell>
          <cell r="C136" t="str">
            <v>MISIAK</v>
          </cell>
          <cell r="D136" t="str">
            <v>Połaniec</v>
          </cell>
        </row>
        <row r="137">
          <cell r="A137" t="str">
            <v>M0022</v>
          </cell>
          <cell r="B137" t="str">
            <v>Paweł </v>
          </cell>
          <cell r="C137" t="str">
            <v>MOŹDZIERZ</v>
          </cell>
          <cell r="D137" t="str">
            <v>Gorlice</v>
          </cell>
        </row>
        <row r="138">
          <cell r="A138" t="str">
            <v>M0023</v>
          </cell>
          <cell r="B138" t="str">
            <v>Tymoteusz</v>
          </cell>
          <cell r="C138" t="str">
            <v>MALIK</v>
          </cell>
          <cell r="D138" t="str">
            <v>Tarnobrzeg</v>
          </cell>
        </row>
        <row r="139">
          <cell r="A139" t="str">
            <v>M0024</v>
          </cell>
          <cell r="B139" t="str">
            <v>Tomasz</v>
          </cell>
          <cell r="C139" t="str">
            <v>MATOGA</v>
          </cell>
          <cell r="D139" t="str">
            <v>Myślenice</v>
          </cell>
        </row>
        <row r="140">
          <cell r="A140" t="str">
            <v>M0025</v>
          </cell>
          <cell r="B140" t="str">
            <v>Bogdan</v>
          </cell>
          <cell r="C140" t="str">
            <v>MATOGA</v>
          </cell>
          <cell r="D140" t="str">
            <v>Myślenice</v>
          </cell>
        </row>
        <row r="141">
          <cell r="A141" t="str">
            <v>M0026</v>
          </cell>
          <cell r="B141" t="str">
            <v>Wojciech</v>
          </cell>
          <cell r="C141" t="str">
            <v>MACHAJ</v>
          </cell>
          <cell r="D141" t="str">
            <v>Mielec</v>
          </cell>
        </row>
        <row r="142">
          <cell r="A142" t="str">
            <v>M0027</v>
          </cell>
          <cell r="B142" t="str">
            <v>Beata</v>
          </cell>
          <cell r="C142" t="str">
            <v>MYCEK</v>
          </cell>
          <cell r="D142" t="str">
            <v>Nowa Dęba</v>
          </cell>
        </row>
        <row r="143">
          <cell r="A143" t="str">
            <v>M0028</v>
          </cell>
          <cell r="B143" t="str">
            <v>Kazimierz</v>
          </cell>
          <cell r="C143" t="str">
            <v>MOSKAL</v>
          </cell>
          <cell r="D143" t="str">
            <v>Ropczyce</v>
          </cell>
        </row>
        <row r="144">
          <cell r="A144" t="str">
            <v>N0001</v>
          </cell>
          <cell r="B144" t="str">
            <v>Andrzej</v>
          </cell>
          <cell r="C144" t="str">
            <v>NOSEK</v>
          </cell>
          <cell r="D144" t="str">
            <v>Tarnów</v>
          </cell>
        </row>
        <row r="145">
          <cell r="A145" t="str">
            <v>N0002</v>
          </cell>
          <cell r="B145" t="str">
            <v>Robert</v>
          </cell>
          <cell r="C145" t="str">
            <v>NOWAK</v>
          </cell>
          <cell r="D145" t="str">
            <v>Mielec</v>
          </cell>
        </row>
        <row r="146">
          <cell r="A146" t="str">
            <v>N0003</v>
          </cell>
          <cell r="B146" t="str">
            <v>Mateusz</v>
          </cell>
          <cell r="C146" t="str">
            <v>NOWAK</v>
          </cell>
          <cell r="D146" t="str">
            <v>Mielec</v>
          </cell>
        </row>
        <row r="147">
          <cell r="A147" t="str">
            <v>N0004</v>
          </cell>
          <cell r="B147" t="str">
            <v>Jakub</v>
          </cell>
          <cell r="C147" t="str">
            <v>NIZIOŁEK</v>
          </cell>
          <cell r="D147" t="str">
            <v>Mielec</v>
          </cell>
        </row>
        <row r="148">
          <cell r="A148" t="str">
            <v>N0005</v>
          </cell>
          <cell r="B148" t="str">
            <v>Izabela</v>
          </cell>
          <cell r="C148" t="str">
            <v>NOWAK</v>
          </cell>
          <cell r="D148" t="str">
            <v>Mielec</v>
          </cell>
        </row>
        <row r="149">
          <cell r="A149" t="str">
            <v>O0001</v>
          </cell>
          <cell r="B149" t="str">
            <v>Krzysztof</v>
          </cell>
          <cell r="C149" t="str">
            <v>OSTROWSKI</v>
          </cell>
          <cell r="D149" t="str">
            <v>Mielec</v>
          </cell>
        </row>
        <row r="150">
          <cell r="A150" t="str">
            <v>O0002</v>
          </cell>
          <cell r="B150" t="str">
            <v>Justyna</v>
          </cell>
          <cell r="C150" t="str">
            <v>OZGA</v>
          </cell>
          <cell r="D150" t="str">
            <v>Mielec</v>
          </cell>
        </row>
        <row r="151">
          <cell r="A151" t="str">
            <v>O0003</v>
          </cell>
          <cell r="B151" t="str">
            <v>Aleksandra</v>
          </cell>
          <cell r="C151" t="str">
            <v>OŻÓG</v>
          </cell>
          <cell r="D151" t="str">
            <v>Sokołów Młp.</v>
          </cell>
        </row>
        <row r="152">
          <cell r="A152" t="str">
            <v>O0004</v>
          </cell>
          <cell r="B152" t="str">
            <v>Krzysztof</v>
          </cell>
          <cell r="C152" t="str">
            <v>ORZECHOWICZ</v>
          </cell>
          <cell r="D152" t="str">
            <v>Jasło</v>
          </cell>
        </row>
        <row r="153">
          <cell r="A153" t="str">
            <v>O0005</v>
          </cell>
          <cell r="B153" t="str">
            <v>Michał</v>
          </cell>
          <cell r="C153" t="str">
            <v>ORZECHOWICZ</v>
          </cell>
          <cell r="D153" t="str">
            <v>Jasło</v>
          </cell>
        </row>
        <row r="154">
          <cell r="A154" t="str">
            <v>O0006</v>
          </cell>
          <cell r="B154" t="str">
            <v>Jessica</v>
          </cell>
          <cell r="C154" t="str">
            <v>ORZECHOWICZ</v>
          </cell>
          <cell r="D154" t="str">
            <v>Jasło</v>
          </cell>
        </row>
        <row r="155">
          <cell r="A155" t="str">
            <v>P0001</v>
          </cell>
          <cell r="B155" t="str">
            <v>Dagmara</v>
          </cell>
          <cell r="C155" t="str">
            <v>PEŁKA</v>
          </cell>
          <cell r="D155" t="str">
            <v>Nowa Dęba</v>
          </cell>
        </row>
        <row r="156">
          <cell r="A156" t="str">
            <v>P0002</v>
          </cell>
          <cell r="B156" t="str">
            <v>Dariusz</v>
          </cell>
          <cell r="C156" t="str">
            <v>PIEKARZ</v>
          </cell>
          <cell r="D156" t="str">
            <v>Gorlice</v>
          </cell>
        </row>
        <row r="157">
          <cell r="A157" t="str">
            <v>P0003</v>
          </cell>
          <cell r="B157" t="str">
            <v>Łukasz</v>
          </cell>
          <cell r="C157" t="str">
            <v>PIENIĄŻEK</v>
          </cell>
          <cell r="D157" t="str">
            <v>Rzeszów</v>
          </cell>
        </row>
        <row r="158">
          <cell r="A158" t="str">
            <v>P0004</v>
          </cell>
          <cell r="B158" t="str">
            <v>Paweł</v>
          </cell>
          <cell r="C158" t="str">
            <v>POCIASK</v>
          </cell>
          <cell r="D158" t="str">
            <v>Ropczyce</v>
          </cell>
        </row>
        <row r="159">
          <cell r="A159" t="str">
            <v>P0005</v>
          </cell>
          <cell r="B159" t="str">
            <v>Michał</v>
          </cell>
          <cell r="C159" t="str">
            <v>POCZĄTEK</v>
          </cell>
          <cell r="D159" t="str">
            <v>Szczucin</v>
          </cell>
        </row>
        <row r="160">
          <cell r="A160" t="str">
            <v>P0006</v>
          </cell>
          <cell r="B160" t="str">
            <v>Daniel</v>
          </cell>
          <cell r="C160" t="str">
            <v>PODLASIŃSKI</v>
          </cell>
          <cell r="D160" t="str">
            <v>Szczucin</v>
          </cell>
        </row>
        <row r="161">
          <cell r="A161" t="str">
            <v>P0007</v>
          </cell>
          <cell r="B161" t="str">
            <v>Piotr</v>
          </cell>
          <cell r="C161" t="str">
            <v>POŁOWNIAK</v>
          </cell>
          <cell r="D161" t="str">
            <v>Tarnobrzeg</v>
          </cell>
        </row>
        <row r="162">
          <cell r="A162" t="str">
            <v>P0008</v>
          </cell>
          <cell r="B162" t="str">
            <v>Dawid</v>
          </cell>
          <cell r="C162" t="str">
            <v>PTAK</v>
          </cell>
          <cell r="D162" t="str">
            <v>Tarnów</v>
          </cell>
        </row>
        <row r="163">
          <cell r="A163" t="str">
            <v>P0009</v>
          </cell>
          <cell r="B163" t="str">
            <v>Michał</v>
          </cell>
          <cell r="C163" t="str">
            <v>PRZYBYŁO</v>
          </cell>
          <cell r="D163" t="str">
            <v>Gorlice</v>
          </cell>
        </row>
        <row r="164">
          <cell r="A164" t="str">
            <v>P0010</v>
          </cell>
          <cell r="B164" t="str">
            <v>Dawid</v>
          </cell>
          <cell r="C164" t="str">
            <v>PIĄTEK</v>
          </cell>
          <cell r="D164" t="str">
            <v>Mielec</v>
          </cell>
        </row>
        <row r="165">
          <cell r="A165" t="str">
            <v>P0011</v>
          </cell>
          <cell r="B165" t="str">
            <v>Krzysztof</v>
          </cell>
          <cell r="C165" t="str">
            <v>PIECHOTA</v>
          </cell>
          <cell r="D165" t="str">
            <v>Mielec</v>
          </cell>
        </row>
        <row r="166">
          <cell r="A166" t="str">
            <v>P0012</v>
          </cell>
          <cell r="B166" t="str">
            <v>Tomasz</v>
          </cell>
          <cell r="C166" t="str">
            <v>PRZYBYŁO</v>
          </cell>
          <cell r="D166" t="str">
            <v>Gorlice</v>
          </cell>
        </row>
        <row r="167">
          <cell r="A167" t="str">
            <v>P0013</v>
          </cell>
          <cell r="B167" t="str">
            <v>Bartosz</v>
          </cell>
          <cell r="C167" t="str">
            <v>PIEKARZ</v>
          </cell>
          <cell r="D167" t="str">
            <v>Gorlice</v>
          </cell>
        </row>
        <row r="168">
          <cell r="A168" t="str">
            <v>P0014</v>
          </cell>
          <cell r="B168" t="str">
            <v>Jolanta</v>
          </cell>
          <cell r="C168" t="str">
            <v>PADUCH</v>
          </cell>
          <cell r="D168" t="str">
            <v>Nowa Dęba</v>
          </cell>
        </row>
        <row r="169">
          <cell r="A169" t="str">
            <v>P0015</v>
          </cell>
          <cell r="B169" t="str">
            <v>Jacek</v>
          </cell>
          <cell r="C169" t="str">
            <v>PĘKACKI</v>
          </cell>
          <cell r="D169" t="str">
            <v>Żyrardów</v>
          </cell>
        </row>
        <row r="170">
          <cell r="A170" t="str">
            <v>P0016</v>
          </cell>
          <cell r="B170" t="str">
            <v>Maciej</v>
          </cell>
          <cell r="C170" t="str">
            <v>PATRYN</v>
          </cell>
          <cell r="D170" t="str">
            <v>Strzyżów</v>
          </cell>
        </row>
        <row r="171">
          <cell r="A171" t="str">
            <v>P0017</v>
          </cell>
          <cell r="B171" t="str">
            <v>Anna</v>
          </cell>
          <cell r="C171" t="str">
            <v>PIWODA</v>
          </cell>
          <cell r="D171" t="str">
            <v>Jarosław</v>
          </cell>
        </row>
        <row r="172">
          <cell r="A172" t="str">
            <v>P0018</v>
          </cell>
          <cell r="B172" t="str">
            <v>Kamil</v>
          </cell>
          <cell r="C172" t="str">
            <v>PŁOCH</v>
          </cell>
          <cell r="D172" t="str">
            <v>Widełka</v>
          </cell>
        </row>
        <row r="173">
          <cell r="A173" t="str">
            <v>P0019</v>
          </cell>
          <cell r="B173" t="str">
            <v>Patryk</v>
          </cell>
          <cell r="C173" t="str">
            <v>PIETRAS</v>
          </cell>
          <cell r="D173" t="str">
            <v>Mielec</v>
          </cell>
        </row>
        <row r="174">
          <cell r="A174" t="str">
            <v>P0020</v>
          </cell>
          <cell r="B174" t="str">
            <v>Tomasz</v>
          </cell>
          <cell r="C174" t="str">
            <v>PROSZEK</v>
          </cell>
          <cell r="D174" t="str">
            <v>Myślenice</v>
          </cell>
        </row>
        <row r="175">
          <cell r="A175" t="str">
            <v>P0021</v>
          </cell>
          <cell r="B175" t="str">
            <v>Mikołaj</v>
          </cell>
          <cell r="C175" t="str">
            <v>POLAŃSKI</v>
          </cell>
          <cell r="D175" t="str">
            <v>Rzeszów</v>
          </cell>
        </row>
        <row r="176">
          <cell r="A176" t="str">
            <v>P0022</v>
          </cell>
          <cell r="B176" t="str">
            <v>Mateusz</v>
          </cell>
          <cell r="C176" t="str">
            <v>POTOCKI</v>
          </cell>
          <cell r="D176" t="str">
            <v>Krosno</v>
          </cell>
        </row>
        <row r="177">
          <cell r="A177" t="str">
            <v>R0001</v>
          </cell>
          <cell r="B177" t="str">
            <v>Andrzej</v>
          </cell>
          <cell r="C177" t="str">
            <v>RACHWAŁ</v>
          </cell>
          <cell r="D177" t="str">
            <v>Straszęcin</v>
          </cell>
        </row>
        <row r="178">
          <cell r="A178" t="str">
            <v>R0002</v>
          </cell>
          <cell r="B178" t="str">
            <v>Katarzyna</v>
          </cell>
          <cell r="C178" t="str">
            <v>RUMAK</v>
          </cell>
          <cell r="D178" t="str">
            <v>Widełka</v>
          </cell>
        </row>
        <row r="179">
          <cell r="A179" t="str">
            <v>R0003</v>
          </cell>
          <cell r="B179" t="str">
            <v>Dawid</v>
          </cell>
          <cell r="C179" t="str">
            <v>RZĄSA</v>
          </cell>
          <cell r="D179" t="str">
            <v>Nowa Dęba</v>
          </cell>
        </row>
        <row r="180">
          <cell r="A180" t="str">
            <v>R0004</v>
          </cell>
          <cell r="B180" t="str">
            <v>Dariusz</v>
          </cell>
          <cell r="C180" t="str">
            <v>RACHWAŁ</v>
          </cell>
          <cell r="D180" t="str">
            <v>Ropczyce</v>
          </cell>
        </row>
        <row r="181">
          <cell r="A181" t="str">
            <v>R0005</v>
          </cell>
          <cell r="B181" t="str">
            <v>Piotr</v>
          </cell>
          <cell r="C181" t="str">
            <v>REMBISZ</v>
          </cell>
          <cell r="D181" t="str">
            <v>Mielec</v>
          </cell>
        </row>
        <row r="182">
          <cell r="A182" t="str">
            <v>R0006</v>
          </cell>
          <cell r="B182" t="str">
            <v>Kasper</v>
          </cell>
          <cell r="C182" t="str">
            <v>RADOŃ</v>
          </cell>
          <cell r="D182" t="str">
            <v>Mielec</v>
          </cell>
        </row>
        <row r="183">
          <cell r="A183" t="str">
            <v>R0007</v>
          </cell>
          <cell r="B183" t="str">
            <v>Daria</v>
          </cell>
          <cell r="C183" t="str">
            <v>RYBIŃSKA</v>
          </cell>
          <cell r="D183" t="str">
            <v>Mielec</v>
          </cell>
        </row>
        <row r="184">
          <cell r="A184" t="str">
            <v>R0008</v>
          </cell>
          <cell r="B184" t="str">
            <v>Dawid</v>
          </cell>
          <cell r="C184" t="str">
            <v>RZESZUTEK</v>
          </cell>
          <cell r="D184" t="str">
            <v>Mielec</v>
          </cell>
        </row>
        <row r="185">
          <cell r="A185" t="str">
            <v>R0009</v>
          </cell>
          <cell r="B185" t="str">
            <v>Konrad</v>
          </cell>
          <cell r="C185" t="str">
            <v>ROŻNIAŁ</v>
          </cell>
          <cell r="D185" t="str">
            <v>Mielec</v>
          </cell>
        </row>
        <row r="186">
          <cell r="A186" t="str">
            <v>R0010</v>
          </cell>
          <cell r="B186" t="str">
            <v>Marek</v>
          </cell>
          <cell r="C186" t="str">
            <v>REGUŁA</v>
          </cell>
          <cell r="D186" t="str">
            <v>Mielec</v>
          </cell>
        </row>
        <row r="187">
          <cell r="A187" t="str">
            <v>R0011</v>
          </cell>
          <cell r="B187" t="str">
            <v>Urszula</v>
          </cell>
          <cell r="C187" t="str">
            <v>RUMAK</v>
          </cell>
          <cell r="D187" t="str">
            <v>Widełka</v>
          </cell>
        </row>
        <row r="188">
          <cell r="A188" t="str">
            <v>R0012</v>
          </cell>
          <cell r="B188" t="str">
            <v>Marek</v>
          </cell>
          <cell r="C188" t="str">
            <v>RZĄSA</v>
          </cell>
          <cell r="D188" t="str">
            <v>Nowa Dęba</v>
          </cell>
        </row>
        <row r="189">
          <cell r="A189" t="str">
            <v>R0013</v>
          </cell>
          <cell r="B189" t="str">
            <v>Natalia</v>
          </cell>
          <cell r="C189" t="str">
            <v>RÓG</v>
          </cell>
          <cell r="D189" t="str">
            <v>Nowa Dęba</v>
          </cell>
        </row>
        <row r="190">
          <cell r="A190" t="str">
            <v>R0014</v>
          </cell>
          <cell r="B190" t="str">
            <v>Agata</v>
          </cell>
          <cell r="C190" t="str">
            <v>RZESZUTKO-POLAK</v>
          </cell>
          <cell r="D190" t="str">
            <v>Rzeszów</v>
          </cell>
        </row>
        <row r="191">
          <cell r="A191" t="str">
            <v>R0015</v>
          </cell>
          <cell r="B191" t="str">
            <v>Oskar</v>
          </cell>
          <cell r="C191" t="str">
            <v>RADZAJ</v>
          </cell>
          <cell r="D191" t="str">
            <v>Mielec</v>
          </cell>
        </row>
        <row r="192">
          <cell r="A192" t="str">
            <v>R0016</v>
          </cell>
          <cell r="B192" t="str">
            <v>Oliwia</v>
          </cell>
          <cell r="C192" t="str">
            <v>RYBIŃSKA</v>
          </cell>
          <cell r="D192" t="str">
            <v>Mielec</v>
          </cell>
        </row>
        <row r="193">
          <cell r="A193" t="str">
            <v>S0001</v>
          </cell>
          <cell r="B193" t="str">
            <v>Justyna</v>
          </cell>
          <cell r="C193" t="str">
            <v>SABAT</v>
          </cell>
          <cell r="D193" t="str">
            <v>Sokołów Młp.</v>
          </cell>
        </row>
        <row r="194">
          <cell r="A194" t="str">
            <v>S0002</v>
          </cell>
          <cell r="B194" t="str">
            <v>Dominik</v>
          </cell>
          <cell r="C194" t="str">
            <v>SADO</v>
          </cell>
          <cell r="D194" t="str">
            <v>Ropczyce</v>
          </cell>
        </row>
        <row r="195">
          <cell r="A195" t="str">
            <v>S0003</v>
          </cell>
          <cell r="B195" t="str">
            <v>Sebastian</v>
          </cell>
          <cell r="C195" t="str">
            <v>SADO</v>
          </cell>
          <cell r="D195" t="str">
            <v>Ropczyce</v>
          </cell>
        </row>
        <row r="196">
          <cell r="A196" t="str">
            <v>S0004</v>
          </cell>
          <cell r="B196" t="str">
            <v>Łukasz</v>
          </cell>
          <cell r="C196" t="str">
            <v>SAŁEK</v>
          </cell>
          <cell r="D196" t="str">
            <v>Tarnobrzeg</v>
          </cell>
        </row>
        <row r="197">
          <cell r="A197" t="str">
            <v>S0005</v>
          </cell>
          <cell r="B197" t="str">
            <v>Adam</v>
          </cell>
          <cell r="C197" t="str">
            <v>SIDOR</v>
          </cell>
          <cell r="D197" t="str">
            <v>Sokołów Młp.</v>
          </cell>
        </row>
        <row r="198">
          <cell r="A198" t="str">
            <v>S0006</v>
          </cell>
          <cell r="B198" t="str">
            <v>Katarzyna</v>
          </cell>
          <cell r="C198" t="str">
            <v>SIERADZKA</v>
          </cell>
          <cell r="D198" t="str">
            <v>Rzeszów</v>
          </cell>
        </row>
        <row r="199">
          <cell r="A199" t="str">
            <v>S0007</v>
          </cell>
          <cell r="B199" t="str">
            <v>Wojciech</v>
          </cell>
          <cell r="C199" t="str">
            <v>SITKO</v>
          </cell>
          <cell r="D199" t="str">
            <v>Szczucin</v>
          </cell>
        </row>
        <row r="200">
          <cell r="A200" t="str">
            <v>S0008</v>
          </cell>
          <cell r="B200" t="str">
            <v>Agnieszka</v>
          </cell>
          <cell r="C200" t="str">
            <v>SKOWROŃSKA</v>
          </cell>
          <cell r="D200" t="str">
            <v>Nowa Dęba</v>
          </cell>
        </row>
        <row r="201">
          <cell r="A201" t="str">
            <v>S0009</v>
          </cell>
          <cell r="B201" t="str">
            <v>Piotr</v>
          </cell>
          <cell r="C201" t="str">
            <v>SKRZEK</v>
          </cell>
          <cell r="D201" t="str">
            <v>Straszęcin</v>
          </cell>
        </row>
        <row r="202">
          <cell r="A202" t="str">
            <v>S0010</v>
          </cell>
          <cell r="B202" t="str">
            <v>Rafał</v>
          </cell>
          <cell r="C202" t="str">
            <v>SKRZEK</v>
          </cell>
          <cell r="D202" t="str">
            <v>Straszęcin</v>
          </cell>
        </row>
        <row r="203">
          <cell r="A203" t="str">
            <v>S0011</v>
          </cell>
          <cell r="B203" t="str">
            <v>Szymon</v>
          </cell>
          <cell r="C203" t="str">
            <v>SOBOŃ</v>
          </cell>
          <cell r="D203" t="str">
            <v>Sokołów Młp.</v>
          </cell>
        </row>
        <row r="204">
          <cell r="A204" t="str">
            <v>S0012</v>
          </cell>
          <cell r="B204" t="str">
            <v>Mateusz</v>
          </cell>
          <cell r="C204" t="str">
            <v>SOŁTYS</v>
          </cell>
          <cell r="D204" t="str">
            <v>Szczucin</v>
          </cell>
        </row>
        <row r="205">
          <cell r="A205" t="str">
            <v>S0013</v>
          </cell>
          <cell r="B205" t="str">
            <v>Jacek</v>
          </cell>
          <cell r="C205" t="str">
            <v>STAWARZ</v>
          </cell>
          <cell r="D205" t="str">
            <v>Uppsala</v>
          </cell>
        </row>
        <row r="206">
          <cell r="A206" t="str">
            <v>S0014</v>
          </cell>
          <cell r="B206" t="str">
            <v>Łukasz</v>
          </cell>
          <cell r="C206" t="str">
            <v>STOCHLIŃSKI</v>
          </cell>
          <cell r="D206" t="str">
            <v>Szczucin</v>
          </cell>
        </row>
        <row r="207">
          <cell r="A207" t="str">
            <v>S0015</v>
          </cell>
          <cell r="B207" t="str">
            <v>Alicja</v>
          </cell>
          <cell r="C207" t="str">
            <v>STYSŁAWSKA</v>
          </cell>
          <cell r="D207" t="str">
            <v>Szczucin</v>
          </cell>
        </row>
        <row r="208">
          <cell r="A208" t="str">
            <v>S0016</v>
          </cell>
          <cell r="B208" t="str">
            <v>Piotr</v>
          </cell>
          <cell r="C208" t="str">
            <v>SUROWIEC</v>
          </cell>
          <cell r="D208" t="str">
            <v>Widełka</v>
          </cell>
        </row>
        <row r="209">
          <cell r="A209" t="str">
            <v>S0017</v>
          </cell>
          <cell r="B209" t="str">
            <v>Kacper</v>
          </cell>
          <cell r="C209" t="str">
            <v>SZYMCZYK</v>
          </cell>
          <cell r="D209" t="str">
            <v>Mielec</v>
          </cell>
        </row>
        <row r="210">
          <cell r="A210" t="str">
            <v>S0018</v>
          </cell>
          <cell r="B210" t="str">
            <v>Wojciech</v>
          </cell>
          <cell r="C210" t="str">
            <v>SMAGAŁA</v>
          </cell>
          <cell r="D210" t="str">
            <v>Ropczyce</v>
          </cell>
        </row>
        <row r="211">
          <cell r="A211" t="str">
            <v>S0019</v>
          </cell>
          <cell r="B211" t="str">
            <v>Katarzyna </v>
          </cell>
          <cell r="C211" t="str">
            <v>SŁOMBA</v>
          </cell>
          <cell r="D211" t="str">
            <v>Mielec</v>
          </cell>
        </row>
        <row r="212">
          <cell r="A212" t="str">
            <v>S0020</v>
          </cell>
          <cell r="B212" t="str">
            <v>Mariusz</v>
          </cell>
          <cell r="C212" t="str">
            <v>SŁOMBA</v>
          </cell>
          <cell r="D212" t="str">
            <v>Mielec</v>
          </cell>
        </row>
        <row r="213">
          <cell r="A213" t="str">
            <v>S0021</v>
          </cell>
          <cell r="B213" t="str">
            <v>Karolina</v>
          </cell>
          <cell r="C213" t="str">
            <v>SMOŁKOWICZ</v>
          </cell>
          <cell r="D213" t="str">
            <v>Gorlice</v>
          </cell>
        </row>
        <row r="214">
          <cell r="A214" t="str">
            <v>S0022</v>
          </cell>
          <cell r="B214" t="str">
            <v>Maciej </v>
          </cell>
          <cell r="C214" t="str">
            <v>SZUREK</v>
          </cell>
          <cell r="D214" t="str">
            <v>Gorlice</v>
          </cell>
        </row>
        <row r="215">
          <cell r="A215" t="str">
            <v>S0023</v>
          </cell>
          <cell r="B215" t="str">
            <v>Dariusz</v>
          </cell>
          <cell r="C215" t="str">
            <v>STAŃKO</v>
          </cell>
          <cell r="D215" t="str">
            <v>Przemyśl</v>
          </cell>
        </row>
        <row r="216">
          <cell r="A216" t="str">
            <v>S0024</v>
          </cell>
          <cell r="B216" t="str">
            <v>Grzegorz</v>
          </cell>
          <cell r="C216" t="str">
            <v>STAŃKO</v>
          </cell>
          <cell r="D216" t="str">
            <v>Przemyśl</v>
          </cell>
        </row>
        <row r="217">
          <cell r="A217" t="str">
            <v>S0025</v>
          </cell>
          <cell r="B217" t="str">
            <v>Wojciech</v>
          </cell>
          <cell r="C217" t="str">
            <v>STAŃKO</v>
          </cell>
          <cell r="D217" t="str">
            <v>Przemyśl</v>
          </cell>
        </row>
        <row r="218">
          <cell r="A218" t="str">
            <v>S0026</v>
          </cell>
          <cell r="B218" t="str">
            <v>Mateusz</v>
          </cell>
          <cell r="C218" t="str">
            <v>STANISZ</v>
          </cell>
          <cell r="D218" t="str">
            <v>Ropczyce</v>
          </cell>
        </row>
        <row r="219">
          <cell r="A219" t="str">
            <v>S0027</v>
          </cell>
          <cell r="B219" t="str">
            <v>Wiktor</v>
          </cell>
          <cell r="C219" t="str">
            <v>SALAMON</v>
          </cell>
          <cell r="D219" t="str">
            <v>Tarnobrzeg</v>
          </cell>
        </row>
        <row r="220">
          <cell r="A220" t="str">
            <v>S0028</v>
          </cell>
          <cell r="B220" t="str">
            <v>Tobiasz</v>
          </cell>
          <cell r="C220" t="str">
            <v>SAŁAGAJ</v>
          </cell>
          <cell r="D220" t="str">
            <v>Mielec</v>
          </cell>
        </row>
        <row r="221">
          <cell r="A221" t="str">
            <v>S0029</v>
          </cell>
          <cell r="B221" t="str">
            <v>Patryk</v>
          </cell>
          <cell r="C221" t="str">
            <v>STOLARZ</v>
          </cell>
          <cell r="D221" t="str">
            <v>Mielec</v>
          </cell>
        </row>
        <row r="222">
          <cell r="A222" t="str">
            <v>S0030</v>
          </cell>
          <cell r="B222" t="str">
            <v>Karol</v>
          </cell>
          <cell r="C222" t="str">
            <v>SZYMURA</v>
          </cell>
          <cell r="D222" t="str">
            <v>Szczucin</v>
          </cell>
        </row>
        <row r="223">
          <cell r="A223" t="str">
            <v>S0031</v>
          </cell>
          <cell r="B223" t="str">
            <v>Marcin</v>
          </cell>
          <cell r="C223" t="str">
            <v>STANECKI</v>
          </cell>
          <cell r="D223" t="str">
            <v>Kraków</v>
          </cell>
        </row>
        <row r="224">
          <cell r="A224" t="str">
            <v>S0032</v>
          </cell>
          <cell r="B224" t="str">
            <v>Łukasz</v>
          </cell>
          <cell r="C224" t="str">
            <v>SZANTULA</v>
          </cell>
          <cell r="D224" t="str">
            <v>Mielec</v>
          </cell>
        </row>
        <row r="225">
          <cell r="A225" t="str">
            <v>S0033</v>
          </cell>
          <cell r="B225" t="str">
            <v>Mikołaj</v>
          </cell>
          <cell r="C225" t="str">
            <v>STRAŻ</v>
          </cell>
          <cell r="D225" t="str">
            <v>Mielec</v>
          </cell>
        </row>
        <row r="226">
          <cell r="A226" t="str">
            <v>S0034</v>
          </cell>
          <cell r="B226" t="str">
            <v>Kuba</v>
          </cell>
          <cell r="C226" t="str">
            <v>SITEK</v>
          </cell>
          <cell r="D226" t="str">
            <v>Rzeszów</v>
          </cell>
        </row>
        <row r="227">
          <cell r="A227" t="str">
            <v>S0035</v>
          </cell>
          <cell r="B227" t="str">
            <v>Karolina</v>
          </cell>
          <cell r="C227" t="str">
            <v>STĘPAK</v>
          </cell>
          <cell r="D227" t="str">
            <v>Stalowa Wola</v>
          </cell>
        </row>
        <row r="228">
          <cell r="A228" t="str">
            <v>Ś0001</v>
          </cell>
          <cell r="B228" t="str">
            <v>Jakub</v>
          </cell>
          <cell r="C228" t="str">
            <v>ŚLIWA</v>
          </cell>
          <cell r="D228" t="str">
            <v>Gorlice</v>
          </cell>
        </row>
        <row r="229">
          <cell r="A229" t="str">
            <v>Ś0002</v>
          </cell>
          <cell r="B229" t="str">
            <v>Ernest</v>
          </cell>
          <cell r="C229" t="str">
            <v>ŚCIPIEŃ</v>
          </cell>
          <cell r="D229" t="str">
            <v>Nowa Dęba</v>
          </cell>
        </row>
        <row r="230">
          <cell r="A230" t="str">
            <v>T0001</v>
          </cell>
          <cell r="B230" t="str">
            <v>Agata</v>
          </cell>
          <cell r="C230" t="str">
            <v>TARASZKA</v>
          </cell>
          <cell r="D230" t="str">
            <v>Nowa Dęba</v>
          </cell>
        </row>
        <row r="231">
          <cell r="A231" t="str">
            <v>T0002</v>
          </cell>
          <cell r="B231" t="str">
            <v>Mariusz</v>
          </cell>
          <cell r="C231" t="str">
            <v>TOCHOWICZ</v>
          </cell>
          <cell r="D231" t="str">
            <v>Tarnów</v>
          </cell>
        </row>
        <row r="232">
          <cell r="A232" t="str">
            <v>T0003</v>
          </cell>
          <cell r="B232" t="str">
            <v>Izabela</v>
          </cell>
          <cell r="C232" t="str">
            <v>TOMCZYK</v>
          </cell>
          <cell r="D232" t="str">
            <v>Nowa Dęba</v>
          </cell>
        </row>
        <row r="233">
          <cell r="A233" t="str">
            <v>T0004</v>
          </cell>
          <cell r="B233" t="str">
            <v>Grzegorz</v>
          </cell>
          <cell r="C233" t="str">
            <v>TALAR</v>
          </cell>
          <cell r="D233" t="str">
            <v>Szczucin</v>
          </cell>
        </row>
        <row r="234">
          <cell r="A234" t="str">
            <v>T0005</v>
          </cell>
          <cell r="B234" t="str">
            <v>Artur</v>
          </cell>
          <cell r="C234" t="str">
            <v>TUKENDORF</v>
          </cell>
          <cell r="D234" t="str">
            <v>Kraków</v>
          </cell>
        </row>
        <row r="235">
          <cell r="A235" t="str">
            <v>T0006</v>
          </cell>
          <cell r="B235" t="str">
            <v>Łukasz</v>
          </cell>
          <cell r="C235" t="str">
            <v>TYRKA</v>
          </cell>
          <cell r="D235" t="str">
            <v>Stalowa Wola</v>
          </cell>
        </row>
        <row r="236">
          <cell r="A236" t="str">
            <v>T0007</v>
          </cell>
          <cell r="B236" t="str">
            <v>Tomasz</v>
          </cell>
          <cell r="C236" t="str">
            <v>TETLA</v>
          </cell>
          <cell r="D236" t="str">
            <v>Stalowa Wola</v>
          </cell>
        </row>
        <row r="237">
          <cell r="A237" t="str">
            <v>T0008</v>
          </cell>
          <cell r="B237" t="str">
            <v>Dominika</v>
          </cell>
          <cell r="C237" t="str">
            <v>TYMOFEJEWICZ</v>
          </cell>
          <cell r="D237" t="str">
            <v>Stalowa Wola</v>
          </cell>
        </row>
        <row r="238">
          <cell r="A238" t="str">
            <v>U0001</v>
          </cell>
          <cell r="B238" t="str">
            <v>Przemysław</v>
          </cell>
          <cell r="C238" t="str">
            <v>URBAN</v>
          </cell>
          <cell r="D238" t="str">
            <v>Rzeszów</v>
          </cell>
        </row>
        <row r="239">
          <cell r="A239" t="str">
            <v>U0002</v>
          </cell>
          <cell r="B239" t="str">
            <v>Tomasz</v>
          </cell>
          <cell r="C239" t="str">
            <v>URBANIK</v>
          </cell>
          <cell r="D239" t="str">
            <v>Gorlice</v>
          </cell>
        </row>
        <row r="240">
          <cell r="A240" t="str">
            <v>W0001</v>
          </cell>
          <cell r="B240" t="str">
            <v>Mariusz</v>
          </cell>
          <cell r="C240" t="str">
            <v>WILCZAK</v>
          </cell>
          <cell r="D240" t="str">
            <v>Sokołów Młp.</v>
          </cell>
        </row>
        <row r="241">
          <cell r="A241" t="str">
            <v>W0002</v>
          </cell>
          <cell r="B241" t="str">
            <v>Dariusz</v>
          </cell>
          <cell r="C241" t="str">
            <v>WILK</v>
          </cell>
          <cell r="D241" t="str">
            <v>Kolbuszowa</v>
          </cell>
        </row>
        <row r="242">
          <cell r="A242" t="str">
            <v>W0003</v>
          </cell>
          <cell r="B242" t="str">
            <v>Krystian</v>
          </cell>
          <cell r="C242" t="str">
            <v>WILK</v>
          </cell>
          <cell r="D242" t="str">
            <v>Mielec</v>
          </cell>
        </row>
        <row r="243">
          <cell r="A243" t="str">
            <v>W0004</v>
          </cell>
          <cell r="B243" t="str">
            <v>Michał</v>
          </cell>
          <cell r="C243" t="str">
            <v>WIĄCEK</v>
          </cell>
          <cell r="D243" t="str">
            <v>Mielec</v>
          </cell>
        </row>
        <row r="244">
          <cell r="A244" t="str">
            <v>W0005</v>
          </cell>
          <cell r="B244" t="str">
            <v>Sebastian</v>
          </cell>
          <cell r="C244" t="str">
            <v>WERON</v>
          </cell>
          <cell r="D244" t="str">
            <v>Gorlice</v>
          </cell>
        </row>
        <row r="245">
          <cell r="A245" t="str">
            <v>W0006</v>
          </cell>
          <cell r="B245" t="str">
            <v>Grażyna</v>
          </cell>
          <cell r="C245" t="str">
            <v>WILCZEWSKA</v>
          </cell>
          <cell r="D245" t="str">
            <v>Strzyżów</v>
          </cell>
        </row>
        <row r="246">
          <cell r="A246" t="str">
            <v>W0007</v>
          </cell>
          <cell r="B246" t="str">
            <v>Mariusz</v>
          </cell>
          <cell r="C246" t="str">
            <v>WILCZEWSKI</v>
          </cell>
          <cell r="D246" t="str">
            <v>Strzyżów</v>
          </cell>
        </row>
        <row r="247">
          <cell r="A247" t="str">
            <v>W0008</v>
          </cell>
          <cell r="B247" t="str">
            <v>Henryk</v>
          </cell>
          <cell r="C247" t="str">
            <v>WARZECHA</v>
          </cell>
          <cell r="D247" t="str">
            <v>Kraków</v>
          </cell>
        </row>
        <row r="248">
          <cell r="A248" t="str">
            <v>W0009</v>
          </cell>
          <cell r="B248" t="str">
            <v>Karol</v>
          </cell>
          <cell r="C248" t="str">
            <v>WESOŁOWSKI</v>
          </cell>
          <cell r="D248" t="str">
            <v>Mielec</v>
          </cell>
        </row>
        <row r="249">
          <cell r="A249" t="str">
            <v>W0010</v>
          </cell>
          <cell r="B249" t="str">
            <v>Dariusz</v>
          </cell>
          <cell r="C249" t="str">
            <v>WALAS</v>
          </cell>
          <cell r="D249" t="str">
            <v>Rzeszów</v>
          </cell>
        </row>
        <row r="250">
          <cell r="A250" t="str">
            <v>W0011</v>
          </cell>
          <cell r="B250" t="str">
            <v>Arkadiusz</v>
          </cell>
          <cell r="C250" t="str">
            <v>WÓJCIK</v>
          </cell>
          <cell r="D250" t="str">
            <v>Wieliczka</v>
          </cell>
        </row>
        <row r="251">
          <cell r="A251" t="str">
            <v>W0012</v>
          </cell>
          <cell r="B251" t="str">
            <v>Tomasz</v>
          </cell>
          <cell r="C251" t="str">
            <v>WYDRO</v>
          </cell>
          <cell r="D251" t="str">
            <v>Mielec</v>
          </cell>
        </row>
        <row r="252">
          <cell r="A252" t="str">
            <v>W0013</v>
          </cell>
          <cell r="B252" t="str">
            <v>Olaf</v>
          </cell>
          <cell r="C252" t="str">
            <v>WARNECKI</v>
          </cell>
          <cell r="D252" t="str">
            <v>Rzeszów</v>
          </cell>
        </row>
        <row r="253">
          <cell r="A253" t="str">
            <v>Z0001</v>
          </cell>
          <cell r="B253" t="str">
            <v>Jacek</v>
          </cell>
          <cell r="C253" t="str">
            <v>ZABAWA</v>
          </cell>
          <cell r="D253" t="str">
            <v>Tarnów</v>
          </cell>
        </row>
        <row r="254">
          <cell r="A254" t="str">
            <v>Z0002</v>
          </cell>
          <cell r="B254" t="str">
            <v>Konrad</v>
          </cell>
          <cell r="C254" t="str">
            <v>ZAUCHA</v>
          </cell>
          <cell r="D254" t="str">
            <v>Straszęcin</v>
          </cell>
        </row>
        <row r="255">
          <cell r="A255" t="str">
            <v>Z0003</v>
          </cell>
          <cell r="B255" t="str">
            <v>Paweł</v>
          </cell>
          <cell r="C255" t="str">
            <v>ZAUCHA</v>
          </cell>
          <cell r="D255" t="str">
            <v>Straszęcin</v>
          </cell>
        </row>
        <row r="256">
          <cell r="A256" t="str">
            <v>Z0004</v>
          </cell>
          <cell r="B256" t="str">
            <v>Aleksandra</v>
          </cell>
          <cell r="C256" t="str">
            <v>ZUBER</v>
          </cell>
          <cell r="D256" t="str">
            <v>Widełka</v>
          </cell>
        </row>
        <row r="257">
          <cell r="A257" t="str">
            <v>Z0005</v>
          </cell>
          <cell r="B257" t="str">
            <v>Łukasz</v>
          </cell>
          <cell r="C257" t="str">
            <v>ZYGORA</v>
          </cell>
          <cell r="D257" t="str">
            <v>Widełka</v>
          </cell>
        </row>
        <row r="258">
          <cell r="A258" t="str">
            <v>Ż0001</v>
          </cell>
          <cell r="B258" t="str">
            <v>Monika</v>
          </cell>
          <cell r="C258" t="str">
            <v>ŻARÓW</v>
          </cell>
          <cell r="D258" t="str">
            <v>Nowa Dęba</v>
          </cell>
        </row>
        <row r="259">
          <cell r="A259" t="str">
            <v>Ż0002</v>
          </cell>
          <cell r="B259" t="str">
            <v>Mateusz</v>
          </cell>
          <cell r="C259" t="str">
            <v>ŻĄDŁO</v>
          </cell>
          <cell r="D259" t="str">
            <v>Kolbuszowa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04"/>
  <sheetViews>
    <sheetView tabSelected="1" zoomScalePageLayoutView="0" workbookViewId="0" topLeftCell="P1">
      <selection activeCell="Q16" sqref="Q16"/>
    </sheetView>
  </sheetViews>
  <sheetFormatPr defaultColWidth="9.28125" defaultRowHeight="15"/>
  <cols>
    <col min="1" max="1" width="2.28125" style="1" hidden="1" customWidth="1"/>
    <col min="2" max="2" width="6.7109375" style="2" hidden="1" customWidth="1"/>
    <col min="3" max="3" width="9.28125" style="2" hidden="1" customWidth="1"/>
    <col min="4" max="4" width="7.28125" style="2" hidden="1" customWidth="1"/>
    <col min="5" max="5" width="9.28125" style="2" hidden="1" customWidth="1"/>
    <col min="6" max="6" width="6.7109375" style="2" hidden="1" customWidth="1"/>
    <col min="7" max="7" width="9.28125" style="2" hidden="1" customWidth="1"/>
    <col min="8" max="8" width="15.28125" style="2" hidden="1" customWidth="1"/>
    <col min="9" max="9" width="19.7109375" style="2" hidden="1" customWidth="1"/>
    <col min="10" max="11" width="6.7109375" style="8" hidden="1" customWidth="1"/>
    <col min="12" max="12" width="10.7109375" style="8" hidden="1" customWidth="1"/>
    <col min="13" max="13" width="26.140625" style="2" hidden="1" customWidth="1"/>
    <col min="14" max="14" width="11.7109375" style="28" hidden="1" customWidth="1"/>
    <col min="15" max="15" width="3.140625" style="8" hidden="1" customWidth="1"/>
    <col min="16" max="16" width="3.140625" style="8" customWidth="1"/>
    <col min="17" max="17" width="12.140625" style="87" customWidth="1"/>
    <col min="18" max="19" width="4.140625" style="87" customWidth="1"/>
    <col min="20" max="20" width="3.421875" style="87" bestFit="1" customWidth="1"/>
    <col min="21" max="21" width="55.7109375" style="87" customWidth="1"/>
    <col min="22" max="22" width="3.7109375" style="87" customWidth="1"/>
    <col min="23" max="25" width="6.7109375" style="87" customWidth="1"/>
    <col min="26" max="27" width="8.7109375" style="87" bestFit="1" customWidth="1"/>
    <col min="28" max="28" width="8.7109375" style="87" customWidth="1"/>
    <col min="29" max="29" width="7.7109375" style="87" bestFit="1" customWidth="1"/>
    <col min="30" max="30" width="7.7109375" style="87" customWidth="1"/>
    <col min="31" max="31" width="7.7109375" style="12" customWidth="1"/>
    <col min="32" max="32" width="7.7109375" style="12" hidden="1" customWidth="1"/>
    <col min="33" max="33" width="4.140625" style="12" hidden="1" customWidth="1"/>
    <col min="34" max="45" width="2.140625" style="12" hidden="1" customWidth="1"/>
    <col min="46" max="47" width="2.28125" style="12" hidden="1" customWidth="1"/>
    <col min="48" max="53" width="2.140625" style="12" hidden="1" customWidth="1"/>
    <col min="54" max="55" width="3.7109375" style="12" hidden="1" customWidth="1"/>
    <col min="56" max="61" width="2.140625" style="12" hidden="1" customWidth="1"/>
    <col min="62" max="62" width="8.140625" style="12" hidden="1" customWidth="1"/>
    <col min="63" max="63" width="11.28125" style="13" hidden="1" customWidth="1"/>
    <col min="64" max="64" width="0" style="2" hidden="1" customWidth="1"/>
    <col min="65" max="65" width="15.28125" style="2" hidden="1" customWidth="1"/>
    <col min="66" max="67" width="0" style="2" hidden="1" customWidth="1"/>
    <col min="68" max="16384" width="9.28125" style="2" customWidth="1"/>
  </cols>
  <sheetData>
    <row r="1" spans="10:63" ht="12" customHeight="1">
      <c r="J1" s="3"/>
      <c r="K1" s="3"/>
      <c r="L1" s="3"/>
      <c r="N1" s="4"/>
      <c r="O1" s="3"/>
      <c r="P1" s="3"/>
      <c r="Q1" s="252" t="str">
        <f>IF(ISBLANK('[1]dane'!$D$2),"",'[1]dane'!$D$2)</f>
        <v>69 Grand Prix Victora</v>
      </c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7"/>
    </row>
    <row r="2" spans="10:63" ht="12" customHeight="1">
      <c r="J2" s="3"/>
      <c r="K2" s="3"/>
      <c r="L2" s="3"/>
      <c r="N2" s="4"/>
      <c r="O2" s="3"/>
      <c r="P2" s="3"/>
      <c r="Q2" s="252" t="str">
        <f>IF(ISBLANK('[1]dane'!$D$3),"",'[1]dane'!$D$3)</f>
        <v>Mielec,  16-12-2012 r.</v>
      </c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"/>
    </row>
    <row r="3" spans="10:63" ht="12" customHeight="1">
      <c r="J3" s="3"/>
      <c r="K3" s="3"/>
      <c r="L3" s="3"/>
      <c r="N3" s="4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7"/>
    </row>
    <row r="4" spans="13:31" ht="11.25" customHeight="1">
      <c r="M4" s="9"/>
      <c r="N4" s="10" t="s">
        <v>0</v>
      </c>
      <c r="Q4" s="253" t="str">
        <f>"Gra "&amp;N4</f>
        <v>Gra Runners Up</v>
      </c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</row>
    <row r="5" spans="10:63" ht="12" customHeight="1" thickBot="1">
      <c r="J5" s="3"/>
      <c r="K5" s="3"/>
      <c r="L5" s="3"/>
      <c r="N5" s="4"/>
      <c r="O5" s="3"/>
      <c r="P5" s="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7"/>
    </row>
    <row r="6" spans="14:32" ht="11.25" customHeight="1" thickBot="1">
      <c r="N6" s="8"/>
      <c r="O6" s="14">
        <v>1</v>
      </c>
      <c r="Q6" s="253" t="str">
        <f>"Grupa "&amp;O6&amp;"."</f>
        <v>Grupa 1.</v>
      </c>
      <c r="R6" s="253"/>
      <c r="S6" s="254"/>
      <c r="T6" s="15" t="s">
        <v>1</v>
      </c>
      <c r="U6" s="255" t="s">
        <v>2</v>
      </c>
      <c r="V6" s="256"/>
      <c r="W6" s="15">
        <v>1</v>
      </c>
      <c r="X6" s="17">
        <v>2</v>
      </c>
      <c r="Y6" s="18">
        <v>3</v>
      </c>
      <c r="Z6" s="19" t="s">
        <v>3</v>
      </c>
      <c r="AA6" s="20" t="s">
        <v>4</v>
      </c>
      <c r="AB6" s="20" t="s">
        <v>5</v>
      </c>
      <c r="AC6" s="21" t="s">
        <v>6</v>
      </c>
      <c r="AD6" s="2"/>
      <c r="AE6" s="22"/>
      <c r="AF6" s="22"/>
    </row>
    <row r="7" spans="10:45" ht="11.25" customHeight="1">
      <c r="J7" s="23"/>
      <c r="K7" s="23"/>
      <c r="L7" s="23"/>
      <c r="N7" s="24" t="s">
        <v>0</v>
      </c>
      <c r="Q7" s="257" t="s">
        <v>7</v>
      </c>
      <c r="R7" s="257"/>
      <c r="S7" s="258" t="s">
        <v>8</v>
      </c>
      <c r="T7" s="259">
        <v>1</v>
      </c>
      <c r="U7" s="262">
        <f>IF(AND(N8&lt;&gt;"",N9&lt;&gt;""),CONCATENATE(VLOOKUP(N8,'[1]zawodnicy'!$A:$E,1,FALSE)," ",VLOOKUP(N8,'[1]zawodnicy'!$A:$E,2,FALSE)," ",VLOOKUP(N8,'[1]zawodnicy'!$A:$E,3,FALSE)," - ",VLOOKUP(N8,'[1]zawodnicy'!$A:$E,4,FALSE)),"")</f>
      </c>
      <c r="V7" s="263"/>
      <c r="W7" s="25"/>
      <c r="X7" s="26" t="str">
        <f>IF(SUM(AN12:AO12)=0,"",AN12&amp;":"&amp;AO12)</f>
        <v>21:14</v>
      </c>
      <c r="Y7" s="27" t="str">
        <f>IF(SUM(AN10:AO10)=0,"",AN10&amp;":"&amp;AO10)</f>
        <v>17:21</v>
      </c>
      <c r="Z7" s="259" t="str">
        <f>IF(SUM(AX10:BA10)=0,"",BD10&amp;":"&amp;BE10)</f>
        <v>117:101</v>
      </c>
      <c r="AA7" s="264" t="str">
        <f>IF(SUM(AX10:BA10)=0,"",BF10&amp;":"&amp;BG10)</f>
        <v>4:2</v>
      </c>
      <c r="AB7" s="264" t="str">
        <f>IF(SUM(AX10:BA10)=0,"",BH10&amp;":"&amp;BI10)</f>
        <v>2:0</v>
      </c>
      <c r="AC7" s="267">
        <f>IF(SUM(BH10:BH12)&gt;0,BJ10,"")</f>
        <v>1</v>
      </c>
      <c r="AD7" s="2"/>
      <c r="AE7" s="22"/>
      <c r="AF7" s="22"/>
      <c r="AG7" s="28"/>
      <c r="AH7" s="270" t="s">
        <v>9</v>
      </c>
      <c r="AI7" s="270"/>
      <c r="AJ7" s="270"/>
      <c r="AK7" s="270"/>
      <c r="AL7" s="270"/>
      <c r="AM7" s="270"/>
      <c r="AN7" s="270" t="s">
        <v>10</v>
      </c>
      <c r="AO7" s="270"/>
      <c r="AP7" s="270"/>
      <c r="AQ7" s="270"/>
      <c r="AR7" s="270"/>
      <c r="AS7" s="270"/>
    </row>
    <row r="8" spans="9:59" ht="11.25" customHeight="1" thickBot="1">
      <c r="I8" s="2" t="str">
        <f>"1"&amp;O6&amp;N7</f>
        <v>11Runners Up</v>
      </c>
      <c r="J8" s="29" t="str">
        <f>IF(AC7="","",IF(AC7=1,N8,IF(AC10=1,N11,IF(AC13=1,N14,""))))</f>
        <v>N0002</v>
      </c>
      <c r="K8" s="29">
        <f>IF(AC7="","",IF(AC7=1,N9,IF(AC10=1,N12,IF(AC13=1,N15,""))))</f>
        <v>0</v>
      </c>
      <c r="L8" s="29"/>
      <c r="N8" s="30" t="s">
        <v>11</v>
      </c>
      <c r="O8" s="31">
        <f>IF(O6&gt;0,(O6&amp;1)*1,"")</f>
        <v>11</v>
      </c>
      <c r="Q8" s="257"/>
      <c r="R8" s="257"/>
      <c r="S8" s="258"/>
      <c r="T8" s="260"/>
      <c r="U8" s="271" t="str">
        <f>IF(AND(N8&lt;&gt;"",N9=""),CONCATENATE(VLOOKUP(N8,'[1]zawodnicy'!$A:$E,1,FALSE)," ",VLOOKUP(N8,'[1]zawodnicy'!$A:$E,2,FALSE)," ",VLOOKUP(N8,'[1]zawodnicy'!$A:$E,3,FALSE)," - ",VLOOKUP(N8,'[1]zawodnicy'!$A:$E,4,FALSE)),"")</f>
        <v>N0002 Robert NOWAK - Mielec</v>
      </c>
      <c r="V8" s="272"/>
      <c r="W8" s="32"/>
      <c r="X8" s="33" t="str">
        <f>IF(SUM(AP12:AQ12)=0,"",AP12&amp;":"&amp;AQ12)</f>
        <v>16:21</v>
      </c>
      <c r="Y8" s="34" t="str">
        <f>IF(SUM(AP10:AQ10)=0,"",AP10&amp;":"&amp;AQ10)</f>
        <v>21:7</v>
      </c>
      <c r="Z8" s="260"/>
      <c r="AA8" s="265"/>
      <c r="AB8" s="265"/>
      <c r="AC8" s="268"/>
      <c r="AD8" s="2"/>
      <c r="AE8" s="22"/>
      <c r="AF8" s="22"/>
      <c r="AG8" s="28"/>
      <c r="BD8" s="12">
        <f>SUM(BD10:BD12)</f>
        <v>291</v>
      </c>
      <c r="BE8" s="12">
        <f>SUM(BE10:BE12)</f>
        <v>291</v>
      </c>
      <c r="BF8" s="12">
        <f>SUM(BF10:BF12)</f>
        <v>8</v>
      </c>
      <c r="BG8" s="12">
        <f>SUM(BG10:BG12)</f>
        <v>8</v>
      </c>
    </row>
    <row r="9" spans="10:63" ht="11.25" customHeight="1" thickBot="1">
      <c r="J9" s="29"/>
      <c r="K9" s="23"/>
      <c r="L9" s="23"/>
      <c r="N9" s="35"/>
      <c r="O9" s="23"/>
      <c r="P9" s="23"/>
      <c r="Q9" s="257"/>
      <c r="R9" s="257"/>
      <c r="S9" s="258"/>
      <c r="T9" s="261"/>
      <c r="U9" s="273">
        <f>IF(N9&lt;&gt;"",CONCATENATE(VLOOKUP(N9,'[1]zawodnicy'!$A:$E,1,FALSE)," ",VLOOKUP(N9,'[1]zawodnicy'!$A:$E,2,FALSE)," ",VLOOKUP(N9,'[1]zawodnicy'!$A:$E,3,FALSE)," - ",VLOOKUP(N9,'[1]zawodnicy'!$A:$E,4,FALSE)),"")</f>
      </c>
      <c r="V9" s="274"/>
      <c r="W9" s="32"/>
      <c r="X9" s="36" t="str">
        <f>IF(SUM(AR12:AS12)=0,"",AR12&amp;":"&amp;AS12)</f>
        <v>21:19</v>
      </c>
      <c r="Y9" s="37" t="str">
        <f>IF(SUM(AR10:AS10)=0,"",AR10&amp;":"&amp;AS10)</f>
        <v>21:19</v>
      </c>
      <c r="Z9" s="261"/>
      <c r="AA9" s="266"/>
      <c r="AB9" s="266"/>
      <c r="AC9" s="269"/>
      <c r="AD9" s="2"/>
      <c r="AE9" s="22"/>
      <c r="AF9" s="22"/>
      <c r="AG9" s="28"/>
      <c r="AH9" s="275" t="s">
        <v>12</v>
      </c>
      <c r="AI9" s="276"/>
      <c r="AJ9" s="277" t="s">
        <v>13</v>
      </c>
      <c r="AK9" s="276"/>
      <c r="AL9" s="277" t="s">
        <v>14</v>
      </c>
      <c r="AM9" s="278"/>
      <c r="AN9" s="275" t="s">
        <v>12</v>
      </c>
      <c r="AO9" s="276"/>
      <c r="AP9" s="277" t="s">
        <v>13</v>
      </c>
      <c r="AQ9" s="276"/>
      <c r="AR9" s="277" t="s">
        <v>14</v>
      </c>
      <c r="AS9" s="276"/>
      <c r="AT9" s="22"/>
      <c r="AU9" s="22"/>
      <c r="AV9" s="275">
        <v>1</v>
      </c>
      <c r="AW9" s="276"/>
      <c r="AX9" s="277">
        <v>2</v>
      </c>
      <c r="AY9" s="276"/>
      <c r="AZ9" s="277">
        <v>3</v>
      </c>
      <c r="BA9" s="278"/>
      <c r="BD9" s="275" t="s">
        <v>3</v>
      </c>
      <c r="BE9" s="278"/>
      <c r="BF9" s="275" t="s">
        <v>4</v>
      </c>
      <c r="BG9" s="278"/>
      <c r="BH9" s="275" t="s">
        <v>5</v>
      </c>
      <c r="BI9" s="278"/>
      <c r="BJ9" s="38" t="s">
        <v>6</v>
      </c>
      <c r="BK9" s="13">
        <f>SUM(BK10:BK12)</f>
        <v>0</v>
      </c>
    </row>
    <row r="10" spans="1:63" ht="11.25" customHeight="1">
      <c r="A10" s="12">
        <f>S10</f>
        <v>1</v>
      </c>
      <c r="B10" s="2" t="str">
        <f>IF(N8="","",N8)</f>
        <v>N0002</v>
      </c>
      <c r="C10" s="2">
        <f>IF(N9="","",N9)</f>
      </c>
      <c r="D10" s="2" t="str">
        <f>IF(N14="","",N14)</f>
        <v>K0012</v>
      </c>
      <c r="E10" s="2">
        <f>IF(N15="","",N15)</f>
      </c>
      <c r="I10" s="2" t="str">
        <f>"2"&amp;O6&amp;N7</f>
        <v>21Runners Up</v>
      </c>
      <c r="J10" s="29" t="str">
        <f>IF(AC10="","",IF(AC7=2,N8,IF(AC10=2,N11,IF(AC13=2,N14,""))))</f>
        <v>B0009</v>
      </c>
      <c r="K10" s="29">
        <f>IF(AC10="","",IF(AC7=2,N9,IF(AC10=2,N12,IF(AC13=2,N15,""))))</f>
        <v>0</v>
      </c>
      <c r="M10" s="39" t="str">
        <f>N7</f>
        <v>Runners Up</v>
      </c>
      <c r="O10" s="23"/>
      <c r="P10" s="23"/>
      <c r="Q10" s="40">
        <f>IF(AT10&gt;0,"",IF(A10=0,"",IF(VLOOKUP(A10,'[1]plan gier'!A:S,19,FALSE)="","",VLOOKUP(A10,'[1]plan gier'!A:S,19,FALSE))))</f>
      </c>
      <c r="R10" s="41" t="s">
        <v>15</v>
      </c>
      <c r="S10" s="42">
        <v>1</v>
      </c>
      <c r="T10" s="279">
        <v>2</v>
      </c>
      <c r="U10" s="280">
        <f>IF(AND(N11&lt;&gt;"",N12&lt;&gt;""),CONCATENATE(VLOOKUP(N11,'[1]zawodnicy'!$A:$E,1,FALSE)," ",VLOOKUP(N11,'[1]zawodnicy'!$A:$E,2,FALSE)," ",VLOOKUP(N11,'[1]zawodnicy'!$A:$E,3,FALSE)," - ",VLOOKUP(N11,'[1]zawodnicy'!$A:$E,4,FALSE)),"")</f>
      </c>
      <c r="V10" s="281"/>
      <c r="W10" s="43" t="str">
        <f>IF(SUM(AN12:AO12)=0,"",AO12&amp;":"&amp;AN12)</f>
        <v>14:21</v>
      </c>
      <c r="X10" s="44"/>
      <c r="Y10" s="45" t="str">
        <f>IF(SUM(AN11:AO11)=0,"",AN11&amp;":"&amp;AO11)</f>
        <v>22:20</v>
      </c>
      <c r="Z10" s="279" t="str">
        <f>IF(SUM(AV11:AW11,AZ11:BA11)=0,"",BD11&amp;":"&amp;BE11)</f>
        <v>97:88</v>
      </c>
      <c r="AA10" s="282" t="str">
        <f>IF(SUM(AV11:AW11,AZ11:BA11)=0,"",BF11&amp;":"&amp;BG11)</f>
        <v>3:2</v>
      </c>
      <c r="AB10" s="282" t="str">
        <f>IF(SUM(AV11:AW11,AZ11:BA11)=0,"",BH11&amp;":"&amp;BI11)</f>
        <v>1:1</v>
      </c>
      <c r="AC10" s="283">
        <f>IF(SUM(BH10:BH12)&gt;0,BJ11,"")</f>
        <v>2</v>
      </c>
      <c r="AD10" s="2"/>
      <c r="AE10" s="22"/>
      <c r="AF10" s="22"/>
      <c r="AG10" s="41" t="s">
        <v>15</v>
      </c>
      <c r="AH10" s="46">
        <f>IF(ISBLANK(S10),"",VLOOKUP(S10,'[1]plan gier'!$X:$AN,12,FALSE))</f>
        <v>17</v>
      </c>
      <c r="AI10" s="47">
        <f>IF(ISBLANK(S10),"",VLOOKUP(S10,'[1]plan gier'!$X:$AN,13,FALSE))</f>
        <v>21</v>
      </c>
      <c r="AJ10" s="47">
        <f>IF(ISBLANK(S10),"",VLOOKUP(S10,'[1]plan gier'!$X:$AN,14,FALSE))</f>
        <v>21</v>
      </c>
      <c r="AK10" s="47">
        <f>IF(ISBLANK(S10),"",VLOOKUP(S10,'[1]plan gier'!$X:$AN,15,FALSE))</f>
        <v>7</v>
      </c>
      <c r="AL10" s="47">
        <f>IF(ISBLANK(S10),"",VLOOKUP(S10,'[1]plan gier'!$X:$AN,16,FALSE))</f>
        <v>21</v>
      </c>
      <c r="AM10" s="47">
        <f>IF(ISBLANK(S10),"",VLOOKUP(S10,'[1]plan gier'!$X:$AN,17,FALSE))</f>
        <v>19</v>
      </c>
      <c r="AN10" s="48">
        <f aca="true" t="shared" si="0" ref="AN10:AS12">IF(AH10="",0,AH10)</f>
        <v>17</v>
      </c>
      <c r="AO10" s="49">
        <f t="shared" si="0"/>
        <v>21</v>
      </c>
      <c r="AP10" s="50">
        <f t="shared" si="0"/>
        <v>21</v>
      </c>
      <c r="AQ10" s="49">
        <f t="shared" si="0"/>
        <v>7</v>
      </c>
      <c r="AR10" s="50">
        <f t="shared" si="0"/>
        <v>21</v>
      </c>
      <c r="AS10" s="49">
        <f t="shared" si="0"/>
        <v>19</v>
      </c>
      <c r="AT10" s="51">
        <f>SUM(AN10:AS10)</f>
        <v>106</v>
      </c>
      <c r="AU10" s="52">
        <v>1</v>
      </c>
      <c r="AV10" s="53"/>
      <c r="AW10" s="54"/>
      <c r="AX10" s="47">
        <f>IF(AH12&gt;AI12,1,0)+IF(AJ12&gt;AK12,1,0)+IF(AL12&gt;AM12,1,0)</f>
        <v>2</v>
      </c>
      <c r="AY10" s="47">
        <f>AV11</f>
        <v>1</v>
      </c>
      <c r="AZ10" s="47">
        <f>IF(AH10&gt;AI10,1,0)+IF(AJ10&gt;AK10,1,0)+IF(AL10&gt;AM10,1,0)</f>
        <v>2</v>
      </c>
      <c r="BA10" s="55">
        <f>AV12</f>
        <v>1</v>
      </c>
      <c r="BD10" s="46">
        <f>AN10+AP10+AR10+AN12+AP12+AR12</f>
        <v>117</v>
      </c>
      <c r="BE10" s="55">
        <f>AO10+AQ10+AS10+AO12+AQ12+AS12</f>
        <v>101</v>
      </c>
      <c r="BF10" s="46">
        <f>AX10+AZ10</f>
        <v>4</v>
      </c>
      <c r="BG10" s="55">
        <f>AY10+BA10</f>
        <v>2</v>
      </c>
      <c r="BH10" s="46">
        <f>IF(AX10&gt;AY10,1,0)+IF(AZ10&gt;BA10,1,0)</f>
        <v>2</v>
      </c>
      <c r="BI10" s="56">
        <f>IF(AY10&gt;AX10,1,0)+IF(BA10&gt;AZ10,1,0)</f>
        <v>0</v>
      </c>
      <c r="BJ10" s="57">
        <f>IF(BH10+BI10=0,"",IF(BK10=MAX(BK10:BK12),1,IF(BK10=MIN(BK10:BK12),3,2)))</f>
        <v>1</v>
      </c>
      <c r="BK10" s="13">
        <f>IF(BH10+BI10&lt;&gt;0,BH10-BI10+(BF10-BG10)/100+(BD10-BE10)/10000,-2)</f>
        <v>2.0216</v>
      </c>
    </row>
    <row r="11" spans="1:63" ht="11.25" customHeight="1">
      <c r="A11" s="12">
        <f>S11</f>
        <v>6</v>
      </c>
      <c r="B11" s="2" t="str">
        <f>IF(N11="","",N11)</f>
        <v>B0009</v>
      </c>
      <c r="C11" s="2">
        <f>IF(N12="","",N12)</f>
      </c>
      <c r="D11" s="2" t="str">
        <f>IF(N14="","",N14)</f>
        <v>K0012</v>
      </c>
      <c r="E11" s="2">
        <f>IF(N15="","",N15)</f>
      </c>
      <c r="J11" s="29"/>
      <c r="K11" s="12"/>
      <c r="M11" s="39" t="str">
        <f>N7</f>
        <v>Runners Up</v>
      </c>
      <c r="N11" s="30" t="s">
        <v>16</v>
      </c>
      <c r="O11" s="31">
        <f>IF(O6&gt;0,(O6&amp;2)*1,"")</f>
        <v>12</v>
      </c>
      <c r="Q11" s="40">
        <f>IF(AT11&gt;0,"",IF(A11=0,"",IF(VLOOKUP(A11,'[1]plan gier'!A:S,19,FALSE)="","",VLOOKUP(A11,'[1]plan gier'!A:S,19,FALSE))))</f>
      </c>
      <c r="R11" s="41" t="s">
        <v>17</v>
      </c>
      <c r="S11" s="42">
        <v>6</v>
      </c>
      <c r="T11" s="260"/>
      <c r="U11" s="271" t="str">
        <f>IF(AND(N11&lt;&gt;"",N12=""),CONCATENATE(VLOOKUP(N11,'[1]zawodnicy'!$A:$E,1,FALSE)," ",VLOOKUP(N11,'[1]zawodnicy'!$A:$E,2,FALSE)," ",VLOOKUP(N11,'[1]zawodnicy'!$A:$E,3,FALSE)," - ",VLOOKUP(N11,'[1]zawodnicy'!$A:$E,4,FALSE)),"")</f>
        <v>B0009 Adam BUNIO - Nowa Dęba</v>
      </c>
      <c r="V11" s="272"/>
      <c r="W11" s="58" t="str">
        <f>IF(SUM(AP12:AQ12)=0,"",AQ12&amp;":"&amp;AP12)</f>
        <v>21:16</v>
      </c>
      <c r="X11" s="59"/>
      <c r="Y11" s="34" t="str">
        <f>IF(SUM(AP11:AQ11)=0,"",AP11&amp;":"&amp;AQ11)</f>
        <v>21:10</v>
      </c>
      <c r="Z11" s="260"/>
      <c r="AA11" s="265"/>
      <c r="AB11" s="265"/>
      <c r="AC11" s="268"/>
      <c r="AD11" s="2"/>
      <c r="AE11" s="22"/>
      <c r="AF11" s="22"/>
      <c r="AG11" s="41" t="s">
        <v>17</v>
      </c>
      <c r="AH11" s="60">
        <f>IF(ISBLANK(S11),"",VLOOKUP(S11,'[1]plan gier'!$X:$AN,12,FALSE))</f>
        <v>22</v>
      </c>
      <c r="AI11" s="61">
        <f>IF(ISBLANK(S11),"",VLOOKUP(S11,'[1]plan gier'!$X:$AN,13,FALSE))</f>
        <v>20</v>
      </c>
      <c r="AJ11" s="61">
        <f>IF(ISBLANK(S11),"",VLOOKUP(S11,'[1]plan gier'!$X:$AN,14,FALSE))</f>
        <v>21</v>
      </c>
      <c r="AK11" s="61">
        <f>IF(ISBLANK(S11),"",VLOOKUP(S11,'[1]plan gier'!$X:$AN,15,FALSE))</f>
        <v>10</v>
      </c>
      <c r="AL11" s="61">
        <f>IF(ISBLANK(S11),"",VLOOKUP(S11,'[1]plan gier'!$X:$AN,16,FALSE))</f>
        <v>0</v>
      </c>
      <c r="AM11" s="61">
        <f>IF(ISBLANK(S11),"",VLOOKUP(S11,'[1]plan gier'!$X:$AN,17,FALSE))</f>
        <v>0</v>
      </c>
      <c r="AN11" s="62">
        <f t="shared" si="0"/>
        <v>22</v>
      </c>
      <c r="AO11" s="61">
        <f t="shared" si="0"/>
        <v>20</v>
      </c>
      <c r="AP11" s="63">
        <f t="shared" si="0"/>
        <v>21</v>
      </c>
      <c r="AQ11" s="61">
        <f t="shared" si="0"/>
        <v>10</v>
      </c>
      <c r="AR11" s="63">
        <f t="shared" si="0"/>
        <v>0</v>
      </c>
      <c r="AS11" s="61">
        <f t="shared" si="0"/>
        <v>0</v>
      </c>
      <c r="AT11" s="51">
        <f>SUM(AN11:AS11)</f>
        <v>73</v>
      </c>
      <c r="AU11" s="52">
        <v>2</v>
      </c>
      <c r="AV11" s="60">
        <f>IF(AH12&lt;AI12,1,0)+IF(AJ12&lt;AK12,1,0)+IF(AL12&lt;AM12,1,0)</f>
        <v>1</v>
      </c>
      <c r="AW11" s="61">
        <f>AX10</f>
        <v>2</v>
      </c>
      <c r="AX11" s="64"/>
      <c r="AY11" s="65"/>
      <c r="AZ11" s="61">
        <f>IF(AH11&gt;AI11,1,0)+IF(AJ11&gt;AK11,1,0)+IF(AL11&gt;AM11,1,0)</f>
        <v>2</v>
      </c>
      <c r="BA11" s="66">
        <f>AX12</f>
        <v>0</v>
      </c>
      <c r="BD11" s="60">
        <f>AN11+AP11+AR11+AO12+AQ12+AS12</f>
        <v>97</v>
      </c>
      <c r="BE11" s="66">
        <f>AO11+AQ11+AS11+AN12+AP12+AR12</f>
        <v>88</v>
      </c>
      <c r="BF11" s="60">
        <f>AV11+AZ11</f>
        <v>3</v>
      </c>
      <c r="BG11" s="66">
        <f>AW11+BA11</f>
        <v>2</v>
      </c>
      <c r="BH11" s="60">
        <f>IF(AV11&gt;AW11,1,0)+IF(AZ11&gt;BA11,1,0)</f>
        <v>1</v>
      </c>
      <c r="BI11" s="67">
        <f>IF(AW11&gt;AV11,1,0)+IF(BA11&gt;AZ11,1,0)</f>
        <v>1</v>
      </c>
      <c r="BJ11" s="68">
        <f>IF(BH11+BI11=0,"",IF(BK11=MAX(BK10:BK12),1,IF(BK11=MIN(BK10:BK12),3,2)))</f>
        <v>2</v>
      </c>
      <c r="BK11" s="13">
        <f>IF(BH11+BI11&lt;&gt;0,BH11-BI11+(BF11-BG11)/100+(BD11-BE11)/10000,-2)</f>
        <v>0.0109</v>
      </c>
    </row>
    <row r="12" spans="1:63" ht="11.25" customHeight="1" thickBot="1">
      <c r="A12" s="12">
        <f>S12</f>
        <v>11</v>
      </c>
      <c r="B12" s="2" t="str">
        <f>IF(N8="","",N8)</f>
        <v>N0002</v>
      </c>
      <c r="C12" s="2">
        <f>IF(N9="","",N9)</f>
      </c>
      <c r="D12" s="2" t="str">
        <f>IF(N11="","",N11)</f>
        <v>B0009</v>
      </c>
      <c r="E12" s="2">
        <f>IF(N12="","",N12)</f>
      </c>
      <c r="I12" s="2" t="str">
        <f>"3"&amp;O6&amp;N7</f>
        <v>31Runners Up</v>
      </c>
      <c r="J12" s="29" t="str">
        <f>IF(AC13="","",IF(AC7=3,N8,IF(AC10=3,N11,IF(AC13=3,N14,""))))</f>
        <v>K0012</v>
      </c>
      <c r="K12" s="29">
        <f>IF(AC13="","",IF(AC7=3,N9,IF(AC10=3,N12,IF(AC13=3,N15,""))))</f>
        <v>0</v>
      </c>
      <c r="M12" s="39" t="str">
        <f>N7</f>
        <v>Runners Up</v>
      </c>
      <c r="N12" s="35"/>
      <c r="O12" s="23"/>
      <c r="P12" s="23"/>
      <c r="Q12" s="40">
        <f>IF(AT12&gt;0,"",IF(A12=0,"",IF(VLOOKUP(A12,'[1]plan gier'!A:S,19,FALSE)="","",VLOOKUP(A12,'[1]plan gier'!A:S,19,FALSE))))</f>
      </c>
      <c r="R12" s="69" t="s">
        <v>18</v>
      </c>
      <c r="S12" s="42">
        <v>11</v>
      </c>
      <c r="T12" s="261"/>
      <c r="U12" s="273">
        <f>IF(N12&lt;&gt;"",CONCATENATE(VLOOKUP(N12,'[1]zawodnicy'!$A:$E,1,FALSE)," ",VLOOKUP(N12,'[1]zawodnicy'!$A:$E,2,FALSE)," ",VLOOKUP(N12,'[1]zawodnicy'!$A:$E,3,FALSE)," - ",VLOOKUP(N12,'[1]zawodnicy'!$A:$E,4,FALSE)),"")</f>
      </c>
      <c r="V12" s="274"/>
      <c r="W12" s="70" t="str">
        <f>IF(SUM(AR12:AS12)=0,"",AS12&amp;":"&amp;AR12)</f>
        <v>19:21</v>
      </c>
      <c r="X12" s="59"/>
      <c r="Y12" s="37">
        <f>IF(SUM(AR11:AS11)=0,"",AR11&amp;":"&amp;AS11)</f>
      </c>
      <c r="Z12" s="261"/>
      <c r="AA12" s="266"/>
      <c r="AB12" s="266"/>
      <c r="AC12" s="269"/>
      <c r="AD12" s="2"/>
      <c r="AE12" s="22"/>
      <c r="AF12" s="22"/>
      <c r="AG12" s="69" t="s">
        <v>18</v>
      </c>
      <c r="AH12" s="71">
        <f>IF(ISBLANK(S12),"",VLOOKUP(S12,'[1]plan gier'!$X:$AN,12,FALSE))</f>
        <v>21</v>
      </c>
      <c r="AI12" s="72">
        <f>IF(ISBLANK(S12),"",VLOOKUP(S12,'[1]plan gier'!$X:$AN,13,FALSE))</f>
        <v>14</v>
      </c>
      <c r="AJ12" s="72">
        <f>IF(ISBLANK(S12),"",VLOOKUP(S12,'[1]plan gier'!$X:$AN,14,FALSE))</f>
        <v>16</v>
      </c>
      <c r="AK12" s="72">
        <f>IF(ISBLANK(S12),"",VLOOKUP(S12,'[1]plan gier'!$X:$AN,15,FALSE))</f>
        <v>21</v>
      </c>
      <c r="AL12" s="72">
        <f>IF(ISBLANK(S12),"",VLOOKUP(S12,'[1]plan gier'!$X:$AN,16,FALSE))</f>
        <v>21</v>
      </c>
      <c r="AM12" s="72">
        <f>IF(ISBLANK(S12),"",VLOOKUP(S12,'[1]plan gier'!$X:$AN,17,FALSE))</f>
        <v>19</v>
      </c>
      <c r="AN12" s="73">
        <f t="shared" si="0"/>
        <v>21</v>
      </c>
      <c r="AO12" s="72">
        <f t="shared" si="0"/>
        <v>14</v>
      </c>
      <c r="AP12" s="74">
        <f t="shared" si="0"/>
        <v>16</v>
      </c>
      <c r="AQ12" s="72">
        <f t="shared" si="0"/>
        <v>21</v>
      </c>
      <c r="AR12" s="74">
        <f t="shared" si="0"/>
        <v>21</v>
      </c>
      <c r="AS12" s="72">
        <f t="shared" si="0"/>
        <v>19</v>
      </c>
      <c r="AT12" s="51">
        <f>SUM(AN12:AS12)</f>
        <v>112</v>
      </c>
      <c r="AU12" s="52">
        <v>3</v>
      </c>
      <c r="AV12" s="71">
        <f>IF(AH10&lt;AI10,1,0)+IF(AJ10&lt;AK10,1,0)+IF(AL10&lt;AM10,1,0)</f>
        <v>1</v>
      </c>
      <c r="AW12" s="72">
        <f>AZ10</f>
        <v>2</v>
      </c>
      <c r="AX12" s="72">
        <f>IF(AH11&lt;AI11,1,0)+IF(AJ11&lt;AK11,1,0)+IF(AL11&lt;AM11,1,0)</f>
        <v>0</v>
      </c>
      <c r="AY12" s="72">
        <f>AZ11</f>
        <v>2</v>
      </c>
      <c r="AZ12" s="75"/>
      <c r="BA12" s="76"/>
      <c r="BD12" s="71">
        <f>AO10+AQ10+AS10+AO11+AQ11+AS11</f>
        <v>77</v>
      </c>
      <c r="BE12" s="77">
        <f>AN10+AP10+AR10+AN11+AP11+AR11</f>
        <v>102</v>
      </c>
      <c r="BF12" s="71">
        <f>AV12+AX12</f>
        <v>1</v>
      </c>
      <c r="BG12" s="77">
        <f>AW12+AY12</f>
        <v>4</v>
      </c>
      <c r="BH12" s="71">
        <f>IF(AV12&gt;AW12,1,0)+IF(AX12&gt;AY12,1,0)</f>
        <v>0</v>
      </c>
      <c r="BI12" s="78">
        <f>IF(AW12&gt;AV12,1,0)+IF(AY12&gt;AX12,1,0)</f>
        <v>2</v>
      </c>
      <c r="BJ12" s="79">
        <f>IF(BH12+BI12=0,"",IF(BK12=MAX(BK10:BK12),1,IF(BK12=MIN(BK10:BK12),3,2)))</f>
        <v>3</v>
      </c>
      <c r="BK12" s="13">
        <f>IF(BH12+BI12&lt;&gt;0,BH12-BI12+(BF12-BG12)/100+(BD12-BE12)/10000,-2)</f>
        <v>-2.0324999999999998</v>
      </c>
    </row>
    <row r="13" spans="1:59" ht="11.25" customHeight="1">
      <c r="A13" s="2"/>
      <c r="J13" s="23"/>
      <c r="K13" s="23"/>
      <c r="L13" s="23"/>
      <c r="O13" s="23"/>
      <c r="P13" s="23"/>
      <c r="Q13" s="2"/>
      <c r="R13" s="2"/>
      <c r="S13" s="2"/>
      <c r="T13" s="279">
        <v>3</v>
      </c>
      <c r="U13" s="280">
        <f>IF(AND(N14&lt;&gt;"",N15&lt;&gt;""),CONCATENATE(VLOOKUP(N14,'[1]zawodnicy'!$A:$E,1,FALSE)," ",VLOOKUP(N14,'[1]zawodnicy'!$A:$E,2,FALSE)," ",VLOOKUP(N14,'[1]zawodnicy'!$A:$E,3,FALSE)," - ",VLOOKUP(N14,'[1]zawodnicy'!$A:$E,4,FALSE)),"")</f>
      </c>
      <c r="V13" s="281"/>
      <c r="W13" s="43" t="str">
        <f>IF(SUM(AN10:AO10)=0,"",AO10&amp;":"&amp;AN10)</f>
        <v>21:17</v>
      </c>
      <c r="X13" s="80" t="str">
        <f>IF(SUM(AN11:AO11)=0,"",AO11&amp;":"&amp;AN11)</f>
        <v>20:22</v>
      </c>
      <c r="Y13" s="81"/>
      <c r="Z13" s="279" t="str">
        <f>IF(SUM(AV12:AY12)=0,"",BD12&amp;":"&amp;BE12)</f>
        <v>77:102</v>
      </c>
      <c r="AA13" s="282" t="str">
        <f>IF(SUM(AV12:AY12)=0,"",BF12&amp;":"&amp;BG12)</f>
        <v>1:4</v>
      </c>
      <c r="AB13" s="282" t="str">
        <f>IF(SUM(AV12:AY12)=0,"",BH12&amp;":"&amp;BI12)</f>
        <v>0:2</v>
      </c>
      <c r="AC13" s="283">
        <f>IF(SUM(BH10:BH12)&gt;0,BJ12,"")</f>
        <v>3</v>
      </c>
      <c r="AD13" s="2"/>
      <c r="AE13" s="22"/>
      <c r="AF13" s="22"/>
      <c r="BD13" s="12">
        <f>SUM(BD10:BD12)</f>
        <v>291</v>
      </c>
      <c r="BE13" s="12">
        <f>SUM(BE10:BE12)</f>
        <v>291</v>
      </c>
      <c r="BF13" s="12">
        <f>SUM(BF10:BF12)</f>
        <v>8</v>
      </c>
      <c r="BG13" s="12">
        <f>SUM(BG10:BG12)</f>
        <v>8</v>
      </c>
    </row>
    <row r="14" spans="1:63" ht="11.25" customHeight="1">
      <c r="A14" s="12"/>
      <c r="J14" s="12"/>
      <c r="K14" s="12"/>
      <c r="L14" s="12"/>
      <c r="N14" s="30" t="s">
        <v>19</v>
      </c>
      <c r="O14" s="31">
        <f>IF(O6&gt;0,(O6&amp;3)*1,"")</f>
        <v>13</v>
      </c>
      <c r="Q14" s="82"/>
      <c r="R14" s="82"/>
      <c r="S14" s="42"/>
      <c r="T14" s="260"/>
      <c r="U14" s="271" t="str">
        <f>IF(AND(N14&lt;&gt;"",N15=""),CONCATENATE(VLOOKUP(N14,'[1]zawodnicy'!$A:$E,1,FALSE)," ",VLOOKUP(N14,'[1]zawodnicy'!$A:$E,2,FALSE)," ",VLOOKUP(N14,'[1]zawodnicy'!$A:$E,3,FALSE)," - ",VLOOKUP(N14,'[1]zawodnicy'!$A:$E,4,FALSE)),"")</f>
        <v>K0012 Piotr KOTERBA - Rzeszów</v>
      </c>
      <c r="V14" s="272"/>
      <c r="W14" s="58" t="str">
        <f>IF(SUM(AP10:AQ10)=0,"",AQ10&amp;":"&amp;AP10)</f>
        <v>7:21</v>
      </c>
      <c r="X14" s="33" t="str">
        <f>IF(SUM(AP11:AQ11)=0,"",AQ11&amp;":"&amp;AP11)</f>
        <v>10:21</v>
      </c>
      <c r="Y14" s="83"/>
      <c r="Z14" s="260"/>
      <c r="AA14" s="265"/>
      <c r="AB14" s="265"/>
      <c r="AC14" s="268"/>
      <c r="AD14" s="2"/>
      <c r="AE14" s="22"/>
      <c r="AF14" s="2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1.25" customHeight="1" thickBot="1">
      <c r="A15" s="2"/>
      <c r="J15" s="23"/>
      <c r="K15" s="23"/>
      <c r="L15" s="23"/>
      <c r="N15" s="35"/>
      <c r="O15" s="23"/>
      <c r="P15" s="23"/>
      <c r="Q15" s="2"/>
      <c r="R15" s="2"/>
      <c r="S15" s="2"/>
      <c r="T15" s="284"/>
      <c r="U15" s="287">
        <f>IF(N15&lt;&gt;"",CONCATENATE(VLOOKUP(N15,'[1]zawodnicy'!$A:$E,1,FALSE)," ",VLOOKUP(N15,'[1]zawodnicy'!$A:$E,2,FALSE)," ",VLOOKUP(N15,'[1]zawodnicy'!$A:$E,3,FALSE)," - ",VLOOKUP(N15,'[1]zawodnicy'!$A:$E,4,FALSE)),"")</f>
      </c>
      <c r="V15" s="288"/>
      <c r="W15" s="84" t="str">
        <f>IF(SUM(AR10:AS10)=0,"",AS10&amp;":"&amp;AR10)</f>
        <v>19:21</v>
      </c>
      <c r="X15" s="85">
        <f>IF(SUM(AR11:AS11)=0,"",AS11&amp;":"&amp;AR11)</f>
      </c>
      <c r="Y15" s="86"/>
      <c r="Z15" s="284"/>
      <c r="AA15" s="285"/>
      <c r="AB15" s="285"/>
      <c r="AC15" s="286"/>
      <c r="AD15" s="29"/>
      <c r="AE15" s="22"/>
      <c r="AF15" s="2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ht="11.25" customHeight="1" thickBot="1"/>
    <row r="17" spans="14:32" ht="11.25" customHeight="1" thickBot="1">
      <c r="N17" s="8"/>
      <c r="O17" s="14">
        <v>2</v>
      </c>
      <c r="Q17" s="253" t="str">
        <f>"Grupa "&amp;O17&amp;"."</f>
        <v>Grupa 2.</v>
      </c>
      <c r="R17" s="253"/>
      <c r="S17" s="254"/>
      <c r="T17" s="15" t="s">
        <v>1</v>
      </c>
      <c r="U17" s="255" t="s">
        <v>2</v>
      </c>
      <c r="V17" s="256"/>
      <c r="W17" s="15">
        <v>1</v>
      </c>
      <c r="X17" s="17">
        <v>2</v>
      </c>
      <c r="Y17" s="18">
        <v>3</v>
      </c>
      <c r="Z17" s="19" t="s">
        <v>3</v>
      </c>
      <c r="AA17" s="20" t="s">
        <v>4</v>
      </c>
      <c r="AB17" s="20" t="s">
        <v>5</v>
      </c>
      <c r="AC17" s="21" t="s">
        <v>6</v>
      </c>
      <c r="AD17" s="2"/>
      <c r="AE17" s="22"/>
      <c r="AF17" s="22"/>
    </row>
    <row r="18" spans="10:45" ht="11.25" customHeight="1">
      <c r="J18" s="23"/>
      <c r="K18" s="23"/>
      <c r="L18" s="23"/>
      <c r="N18" s="24" t="s">
        <v>0</v>
      </c>
      <c r="Q18" s="257" t="s">
        <v>7</v>
      </c>
      <c r="R18" s="257"/>
      <c r="S18" s="258" t="s">
        <v>8</v>
      </c>
      <c r="T18" s="259">
        <v>1</v>
      </c>
      <c r="U18" s="262">
        <f>IF(AND(N19&lt;&gt;"",N20&lt;&gt;""),CONCATENATE(VLOOKUP(N19,'[1]zawodnicy'!$A:$E,1,FALSE)," ",VLOOKUP(N19,'[1]zawodnicy'!$A:$E,2,FALSE)," ",VLOOKUP(N19,'[1]zawodnicy'!$A:$E,3,FALSE)," - ",VLOOKUP(N19,'[1]zawodnicy'!$A:$E,4,FALSE)),"")</f>
      </c>
      <c r="V18" s="263"/>
      <c r="W18" s="25"/>
      <c r="X18" s="26" t="str">
        <f>IF(SUM(AN23:AO23)=0,"",AN23&amp;":"&amp;AO23)</f>
        <v>11:21</v>
      </c>
      <c r="Y18" s="27" t="str">
        <f>IF(SUM(AN21:AO21)=0,"",AN21&amp;":"&amp;AO21)</f>
        <v>9:21</v>
      </c>
      <c r="Z18" s="259" t="str">
        <f>IF(SUM(AX21:BA21)=0,"",BD21&amp;":"&amp;BE21)</f>
        <v>40:84</v>
      </c>
      <c r="AA18" s="264" t="str">
        <f>IF(SUM(AX21:BA21)=0,"",BF21&amp;":"&amp;BG21)</f>
        <v>0:4</v>
      </c>
      <c r="AB18" s="264" t="str">
        <f>IF(SUM(AX21:BA21)=0,"",BH21&amp;":"&amp;BI21)</f>
        <v>0:2</v>
      </c>
      <c r="AC18" s="267">
        <f>IF(SUM(BH21:BH23)&gt;0,BJ21,"")</f>
        <v>3</v>
      </c>
      <c r="AD18" s="2"/>
      <c r="AE18" s="22"/>
      <c r="AF18" s="22"/>
      <c r="AG18" s="28"/>
      <c r="AH18" s="270" t="s">
        <v>9</v>
      </c>
      <c r="AI18" s="270"/>
      <c r="AJ18" s="270"/>
      <c r="AK18" s="270"/>
      <c r="AL18" s="270"/>
      <c r="AM18" s="270"/>
      <c r="AN18" s="270" t="s">
        <v>10</v>
      </c>
      <c r="AO18" s="270"/>
      <c r="AP18" s="270"/>
      <c r="AQ18" s="270"/>
      <c r="AR18" s="270"/>
      <c r="AS18" s="270"/>
    </row>
    <row r="19" spans="9:59" ht="11.25" customHeight="1" thickBot="1">
      <c r="I19" s="2" t="str">
        <f>"1"&amp;O17&amp;N18</f>
        <v>12Runners Up</v>
      </c>
      <c r="J19" s="29" t="str">
        <f>IF(AC18="","",IF(AC18=1,N19,IF(AC21=1,N22,IF(AC24=1,N25,""))))</f>
        <v>K0014</v>
      </c>
      <c r="K19" s="29">
        <f>IF(AC18="","",IF(AC18=1,N20,IF(AC21=1,N23,IF(AC24=1,N26,""))))</f>
        <v>0</v>
      </c>
      <c r="L19" s="29"/>
      <c r="N19" s="30" t="s">
        <v>20</v>
      </c>
      <c r="O19" s="31">
        <f>IF(O17&gt;0,(O17&amp;1)*1,"")</f>
        <v>21</v>
      </c>
      <c r="Q19" s="257"/>
      <c r="R19" s="257"/>
      <c r="S19" s="258"/>
      <c r="T19" s="260"/>
      <c r="U19" s="271" t="str">
        <f>IF(AND(N19&lt;&gt;"",N20=""),CONCATENATE(VLOOKUP(N19,'[1]zawodnicy'!$A:$E,1,FALSE)," ",VLOOKUP(N19,'[1]zawodnicy'!$A:$E,2,FALSE)," ",VLOOKUP(N19,'[1]zawodnicy'!$A:$E,3,FALSE)," - ",VLOOKUP(N19,'[1]zawodnicy'!$A:$E,4,FALSE)),"")</f>
        <v>W0013 Olaf WARNECKI - Rzeszów</v>
      </c>
      <c r="V19" s="272"/>
      <c r="W19" s="32"/>
      <c r="X19" s="33" t="str">
        <f>IF(SUM(AP23:AQ23)=0,"",AP23&amp;":"&amp;AQ23)</f>
        <v>14:21</v>
      </c>
      <c r="Y19" s="34" t="str">
        <f>IF(SUM(AP21:AQ21)=0,"",AP21&amp;":"&amp;AQ21)</f>
        <v>6:21</v>
      </c>
      <c r="Z19" s="260"/>
      <c r="AA19" s="265"/>
      <c r="AB19" s="265"/>
      <c r="AC19" s="268"/>
      <c r="AD19" s="2"/>
      <c r="AE19" s="22"/>
      <c r="AF19" s="22"/>
      <c r="AG19" s="28"/>
      <c r="BD19" s="12">
        <f>SUM(BD21:BD23)</f>
        <v>185</v>
      </c>
      <c r="BE19" s="12">
        <f>SUM(BE21:BE23)</f>
        <v>185</v>
      </c>
      <c r="BF19" s="12">
        <f>SUM(BF21:BF23)</f>
        <v>6</v>
      </c>
      <c r="BG19" s="12">
        <f>SUM(BG21:BG23)</f>
        <v>6</v>
      </c>
    </row>
    <row r="20" spans="10:63" ht="11.25" customHeight="1" thickBot="1">
      <c r="J20" s="29"/>
      <c r="K20" s="23"/>
      <c r="L20" s="23"/>
      <c r="N20" s="35"/>
      <c r="O20" s="23"/>
      <c r="P20" s="23"/>
      <c r="Q20" s="257"/>
      <c r="R20" s="257"/>
      <c r="S20" s="258"/>
      <c r="T20" s="261"/>
      <c r="U20" s="273">
        <f>IF(N20&lt;&gt;"",CONCATENATE(VLOOKUP(N20,'[1]zawodnicy'!$A:$E,1,FALSE)," ",VLOOKUP(N20,'[1]zawodnicy'!$A:$E,2,FALSE)," ",VLOOKUP(N20,'[1]zawodnicy'!$A:$E,3,FALSE)," - ",VLOOKUP(N20,'[1]zawodnicy'!$A:$E,4,FALSE)),"")</f>
      </c>
      <c r="V20" s="274"/>
      <c r="W20" s="32"/>
      <c r="X20" s="36">
        <f>IF(SUM(AR23:AS23)=0,"",AR23&amp;":"&amp;AS23)</f>
      </c>
      <c r="Y20" s="37">
        <f>IF(SUM(AR21:AS21)=0,"",AR21&amp;":"&amp;AS21)</f>
      </c>
      <c r="Z20" s="261"/>
      <c r="AA20" s="266"/>
      <c r="AB20" s="266"/>
      <c r="AC20" s="269"/>
      <c r="AD20" s="2"/>
      <c r="AE20" s="22"/>
      <c r="AF20" s="22"/>
      <c r="AG20" s="28"/>
      <c r="AH20" s="275" t="s">
        <v>12</v>
      </c>
      <c r="AI20" s="276"/>
      <c r="AJ20" s="277" t="s">
        <v>13</v>
      </c>
      <c r="AK20" s="276"/>
      <c r="AL20" s="277" t="s">
        <v>14</v>
      </c>
      <c r="AM20" s="278"/>
      <c r="AN20" s="275" t="s">
        <v>12</v>
      </c>
      <c r="AO20" s="276"/>
      <c r="AP20" s="277" t="s">
        <v>13</v>
      </c>
      <c r="AQ20" s="276"/>
      <c r="AR20" s="277" t="s">
        <v>14</v>
      </c>
      <c r="AS20" s="276"/>
      <c r="AT20" s="22"/>
      <c r="AU20" s="22"/>
      <c r="AV20" s="275">
        <v>1</v>
      </c>
      <c r="AW20" s="276"/>
      <c r="AX20" s="277">
        <v>2</v>
      </c>
      <c r="AY20" s="276"/>
      <c r="AZ20" s="277">
        <v>3</v>
      </c>
      <c r="BA20" s="278"/>
      <c r="BD20" s="275" t="s">
        <v>3</v>
      </c>
      <c r="BE20" s="278"/>
      <c r="BF20" s="275" t="s">
        <v>4</v>
      </c>
      <c r="BG20" s="278"/>
      <c r="BH20" s="275" t="s">
        <v>5</v>
      </c>
      <c r="BI20" s="278"/>
      <c r="BJ20" s="38" t="s">
        <v>6</v>
      </c>
      <c r="BK20" s="13">
        <f>SUM(BK21:BK23)</f>
        <v>0</v>
      </c>
    </row>
    <row r="21" spans="1:63" ht="11.25" customHeight="1">
      <c r="A21" s="12">
        <f>S21</f>
        <v>2</v>
      </c>
      <c r="B21" s="2" t="str">
        <f>IF(N19="","",N19)</f>
        <v>W0013</v>
      </c>
      <c r="C21" s="2">
        <f>IF(N20="","",N20)</f>
      </c>
      <c r="D21" s="2" t="str">
        <f>IF(N25="","",N25)</f>
        <v>K0014</v>
      </c>
      <c r="E21" s="2">
        <f>IF(N26="","",N26)</f>
      </c>
      <c r="I21" s="2" t="str">
        <f>"2"&amp;O17&amp;N18</f>
        <v>22Runners Up</v>
      </c>
      <c r="J21" s="29" t="str">
        <f>IF(AC21="","",IF(AC18=2,N19,IF(AC21=2,N22,IF(AC24=2,N25,""))))</f>
        <v>R0015</v>
      </c>
      <c r="K21" s="29">
        <f>IF(AC21="","",IF(AC18=2,N20,IF(AC21=2,N23,IF(AC24=2,N26,""))))</f>
        <v>0</v>
      </c>
      <c r="M21" s="39" t="str">
        <f>N18</f>
        <v>Runners Up</v>
      </c>
      <c r="O21" s="23"/>
      <c r="P21" s="23"/>
      <c r="Q21" s="40">
        <f>IF(AT21&gt;0,"",IF(A21=0,"",IF(VLOOKUP(A21,'[1]plan gier'!A:S,19,FALSE)="","",VLOOKUP(A21,'[1]plan gier'!A:S,19,FALSE))))</f>
      </c>
      <c r="R21" s="41" t="s">
        <v>15</v>
      </c>
      <c r="S21" s="42">
        <v>2</v>
      </c>
      <c r="T21" s="279">
        <v>2</v>
      </c>
      <c r="U21" s="280">
        <f>IF(AND(N22&lt;&gt;"",N23&lt;&gt;""),CONCATENATE(VLOOKUP(N22,'[1]zawodnicy'!$A:$E,1,FALSE)," ",VLOOKUP(N22,'[1]zawodnicy'!$A:$E,2,FALSE)," ",VLOOKUP(N22,'[1]zawodnicy'!$A:$E,3,FALSE)," - ",VLOOKUP(N22,'[1]zawodnicy'!$A:$E,4,FALSE)),"")</f>
      </c>
      <c r="V21" s="281"/>
      <c r="W21" s="43" t="str">
        <f>IF(SUM(AN23:AO23)=0,"",AO23&amp;":"&amp;AN23)</f>
        <v>21:11</v>
      </c>
      <c r="X21" s="44"/>
      <c r="Y21" s="45" t="str">
        <f>IF(SUM(AN22:AO22)=0,"",AN22&amp;":"&amp;AO22)</f>
        <v>12:21</v>
      </c>
      <c r="Z21" s="279" t="str">
        <f>IF(SUM(AV22:AW22,AZ22:BA22)=0,"",BD22&amp;":"&amp;BE22)</f>
        <v>61:67</v>
      </c>
      <c r="AA21" s="282" t="str">
        <f>IF(SUM(AV22:AW22,AZ22:BA22)=0,"",BF22&amp;":"&amp;BG22)</f>
        <v>2:2</v>
      </c>
      <c r="AB21" s="282" t="str">
        <f>IF(SUM(AV22:AW22,AZ22:BA22)=0,"",BH22&amp;":"&amp;BI22)</f>
        <v>1:1</v>
      </c>
      <c r="AC21" s="283">
        <f>IF(SUM(BH21:BH23)&gt;0,BJ22,"")</f>
        <v>2</v>
      </c>
      <c r="AD21" s="2"/>
      <c r="AE21" s="22"/>
      <c r="AF21" s="22"/>
      <c r="AG21" s="41" t="s">
        <v>15</v>
      </c>
      <c r="AH21" s="46">
        <f>IF(ISBLANK(S21),"",VLOOKUP(S21,'[1]plan gier'!$X:$AN,12,FALSE))</f>
        <v>9</v>
      </c>
      <c r="AI21" s="47">
        <f>IF(ISBLANK(S21),"",VLOOKUP(S21,'[1]plan gier'!$X:$AN,13,FALSE))</f>
        <v>21</v>
      </c>
      <c r="AJ21" s="47">
        <f>IF(ISBLANK(S21),"",VLOOKUP(S21,'[1]plan gier'!$X:$AN,14,FALSE))</f>
        <v>6</v>
      </c>
      <c r="AK21" s="47">
        <f>IF(ISBLANK(S21),"",VLOOKUP(S21,'[1]plan gier'!$X:$AN,15,FALSE))</f>
        <v>21</v>
      </c>
      <c r="AL21" s="47">
        <f>IF(ISBLANK(S21),"",VLOOKUP(S21,'[1]plan gier'!$X:$AN,16,FALSE))</f>
        <v>0</v>
      </c>
      <c r="AM21" s="47">
        <f>IF(ISBLANK(S21),"",VLOOKUP(S21,'[1]plan gier'!$X:$AN,17,FALSE))</f>
        <v>0</v>
      </c>
      <c r="AN21" s="48">
        <f aca="true" t="shared" si="1" ref="AN21:AS23">IF(AH21="",0,AH21)</f>
        <v>9</v>
      </c>
      <c r="AO21" s="49">
        <f t="shared" si="1"/>
        <v>21</v>
      </c>
      <c r="AP21" s="50">
        <f t="shared" si="1"/>
        <v>6</v>
      </c>
      <c r="AQ21" s="49">
        <f t="shared" si="1"/>
        <v>21</v>
      </c>
      <c r="AR21" s="50">
        <f t="shared" si="1"/>
        <v>0</v>
      </c>
      <c r="AS21" s="49">
        <f t="shared" si="1"/>
        <v>0</v>
      </c>
      <c r="AT21" s="51">
        <f>SUM(AN21:AS21)</f>
        <v>57</v>
      </c>
      <c r="AU21" s="52">
        <v>1</v>
      </c>
      <c r="AV21" s="53"/>
      <c r="AW21" s="54"/>
      <c r="AX21" s="47">
        <f>IF(AH23&gt;AI23,1,0)+IF(AJ23&gt;AK23,1,0)+IF(AL23&gt;AM23,1,0)</f>
        <v>0</v>
      </c>
      <c r="AY21" s="47">
        <f>AV22</f>
        <v>2</v>
      </c>
      <c r="AZ21" s="47">
        <f>IF(AH21&gt;AI21,1,0)+IF(AJ21&gt;AK21,1,0)+IF(AL21&gt;AM21,1,0)</f>
        <v>0</v>
      </c>
      <c r="BA21" s="55">
        <f>AV23</f>
        <v>2</v>
      </c>
      <c r="BD21" s="46">
        <f>AN21+AP21+AR21+AN23+AP23+AR23</f>
        <v>40</v>
      </c>
      <c r="BE21" s="55">
        <f>AO21+AQ21+AS21+AO23+AQ23+AS23</f>
        <v>84</v>
      </c>
      <c r="BF21" s="46">
        <f>AX21+AZ21</f>
        <v>0</v>
      </c>
      <c r="BG21" s="55">
        <f>AY21+BA21</f>
        <v>4</v>
      </c>
      <c r="BH21" s="46">
        <f>IF(AX21&gt;AY21,1,0)+IF(AZ21&gt;BA21,1,0)</f>
        <v>0</v>
      </c>
      <c r="BI21" s="56">
        <f>IF(AY21&gt;AX21,1,0)+IF(BA21&gt;AZ21,1,0)</f>
        <v>2</v>
      </c>
      <c r="BJ21" s="57">
        <f>IF(BH21+BI21=0,"",IF(BK21=MAX(BK21:BK23),1,IF(BK21=MIN(BK21:BK23),3,2)))</f>
        <v>3</v>
      </c>
      <c r="BK21" s="13">
        <f>IF(BH21+BI21&lt;&gt;0,BH21-BI21+(BF21-BG21)/100+(BD21-BE21)/10000,-2)</f>
        <v>-2.0444</v>
      </c>
    </row>
    <row r="22" spans="1:63" ht="11.25" customHeight="1">
      <c r="A22" s="12">
        <f>S22</f>
        <v>7</v>
      </c>
      <c r="B22" s="2" t="str">
        <f>IF(N22="","",N22)</f>
        <v>R0015</v>
      </c>
      <c r="C22" s="2">
        <f>IF(N23="","",N23)</f>
      </c>
      <c r="D22" s="2" t="str">
        <f>IF(N25="","",N25)</f>
        <v>K0014</v>
      </c>
      <c r="E22" s="2">
        <f>IF(N26="","",N26)</f>
      </c>
      <c r="J22" s="29"/>
      <c r="K22" s="12"/>
      <c r="M22" s="39" t="str">
        <f>N18</f>
        <v>Runners Up</v>
      </c>
      <c r="N22" s="30" t="s">
        <v>21</v>
      </c>
      <c r="O22" s="31">
        <f>IF(O17&gt;0,(O17&amp;2)*1,"")</f>
        <v>22</v>
      </c>
      <c r="Q22" s="40">
        <f>IF(AT22&gt;0,"",IF(A22=0,"",IF(VLOOKUP(A22,'[1]plan gier'!A:S,19,FALSE)="","",VLOOKUP(A22,'[1]plan gier'!A:S,19,FALSE))))</f>
      </c>
      <c r="R22" s="41" t="s">
        <v>17</v>
      </c>
      <c r="S22" s="42">
        <v>7</v>
      </c>
      <c r="T22" s="260"/>
      <c r="U22" s="271" t="str">
        <f>IF(AND(N22&lt;&gt;"",N23=""),CONCATENATE(VLOOKUP(N22,'[1]zawodnicy'!$A:$E,1,FALSE)," ",VLOOKUP(N22,'[1]zawodnicy'!$A:$E,2,FALSE)," ",VLOOKUP(N22,'[1]zawodnicy'!$A:$E,3,FALSE)," - ",VLOOKUP(N22,'[1]zawodnicy'!$A:$E,4,FALSE)),"")</f>
        <v>R0015 Oskar RADZAJ - Mielec</v>
      </c>
      <c r="V22" s="272"/>
      <c r="W22" s="58" t="str">
        <f>IF(SUM(AP23:AQ23)=0,"",AQ23&amp;":"&amp;AP23)</f>
        <v>21:14</v>
      </c>
      <c r="X22" s="59"/>
      <c r="Y22" s="34" t="str">
        <f>IF(SUM(AP22:AQ22)=0,"",AP22&amp;":"&amp;AQ22)</f>
        <v>7:21</v>
      </c>
      <c r="Z22" s="260"/>
      <c r="AA22" s="265"/>
      <c r="AB22" s="265"/>
      <c r="AC22" s="268"/>
      <c r="AD22" s="2"/>
      <c r="AE22" s="22"/>
      <c r="AF22" s="22"/>
      <c r="AG22" s="41" t="s">
        <v>17</v>
      </c>
      <c r="AH22" s="60">
        <f>IF(ISBLANK(S22),"",VLOOKUP(S22,'[1]plan gier'!$X:$AN,12,FALSE))</f>
        <v>12</v>
      </c>
      <c r="AI22" s="61">
        <f>IF(ISBLANK(S22),"",VLOOKUP(S22,'[1]plan gier'!$X:$AN,13,FALSE))</f>
        <v>21</v>
      </c>
      <c r="AJ22" s="61">
        <f>IF(ISBLANK(S22),"",VLOOKUP(S22,'[1]plan gier'!$X:$AN,14,FALSE))</f>
        <v>7</v>
      </c>
      <c r="AK22" s="61">
        <f>IF(ISBLANK(S22),"",VLOOKUP(S22,'[1]plan gier'!$X:$AN,15,FALSE))</f>
        <v>21</v>
      </c>
      <c r="AL22" s="61">
        <f>IF(ISBLANK(S22),"",VLOOKUP(S22,'[1]plan gier'!$X:$AN,16,FALSE))</f>
        <v>0</v>
      </c>
      <c r="AM22" s="61">
        <f>IF(ISBLANK(S22),"",VLOOKUP(S22,'[1]plan gier'!$X:$AN,17,FALSE))</f>
        <v>0</v>
      </c>
      <c r="AN22" s="62">
        <f t="shared" si="1"/>
        <v>12</v>
      </c>
      <c r="AO22" s="61">
        <f t="shared" si="1"/>
        <v>21</v>
      </c>
      <c r="AP22" s="63">
        <f t="shared" si="1"/>
        <v>7</v>
      </c>
      <c r="AQ22" s="61">
        <f t="shared" si="1"/>
        <v>21</v>
      </c>
      <c r="AR22" s="63">
        <f t="shared" si="1"/>
        <v>0</v>
      </c>
      <c r="AS22" s="61">
        <f t="shared" si="1"/>
        <v>0</v>
      </c>
      <c r="AT22" s="51">
        <f>SUM(AN22:AS22)</f>
        <v>61</v>
      </c>
      <c r="AU22" s="52">
        <v>2</v>
      </c>
      <c r="AV22" s="60">
        <f>IF(AH23&lt;AI23,1,0)+IF(AJ23&lt;AK23,1,0)+IF(AL23&lt;AM23,1,0)</f>
        <v>2</v>
      </c>
      <c r="AW22" s="61">
        <f>AX21</f>
        <v>0</v>
      </c>
      <c r="AX22" s="64"/>
      <c r="AY22" s="65"/>
      <c r="AZ22" s="61">
        <f>IF(AH22&gt;AI22,1,0)+IF(AJ22&gt;AK22,1,0)+IF(AL22&gt;AM22,1,0)</f>
        <v>0</v>
      </c>
      <c r="BA22" s="66">
        <f>AX23</f>
        <v>2</v>
      </c>
      <c r="BD22" s="60">
        <f>AN22+AP22+AR22+AO23+AQ23+AS23</f>
        <v>61</v>
      </c>
      <c r="BE22" s="66">
        <f>AO22+AQ22+AS22+AN23+AP23+AR23</f>
        <v>67</v>
      </c>
      <c r="BF22" s="60">
        <f>AV22+AZ22</f>
        <v>2</v>
      </c>
      <c r="BG22" s="66">
        <f>AW22+BA22</f>
        <v>2</v>
      </c>
      <c r="BH22" s="60">
        <f>IF(AV22&gt;AW22,1,0)+IF(AZ22&gt;BA22,1,0)</f>
        <v>1</v>
      </c>
      <c r="BI22" s="67">
        <f>IF(AW22&gt;AV22,1,0)+IF(BA22&gt;AZ22,1,0)</f>
        <v>1</v>
      </c>
      <c r="BJ22" s="68">
        <f>IF(BH22+BI22=0,"",IF(BK22=MAX(BK21:BK23),1,IF(BK22=MIN(BK21:BK23),3,2)))</f>
        <v>2</v>
      </c>
      <c r="BK22" s="13">
        <f>IF(BH22+BI22&lt;&gt;0,BH22-BI22+(BF22-BG22)/100+(BD22-BE22)/10000,-2)</f>
        <v>-0.0006</v>
      </c>
    </row>
    <row r="23" spans="1:63" ht="11.25" customHeight="1" thickBot="1">
      <c r="A23" s="12">
        <f>S23</f>
        <v>12</v>
      </c>
      <c r="B23" s="2" t="str">
        <f>IF(N19="","",N19)</f>
        <v>W0013</v>
      </c>
      <c r="C23" s="2">
        <f>IF(N20="","",N20)</f>
      </c>
      <c r="D23" s="2" t="str">
        <f>IF(N22="","",N22)</f>
        <v>R0015</v>
      </c>
      <c r="E23" s="2">
        <f>IF(N23="","",N23)</f>
      </c>
      <c r="I23" s="2" t="str">
        <f>"3"&amp;O17&amp;N18</f>
        <v>32Runners Up</v>
      </c>
      <c r="J23" s="29" t="str">
        <f>IF(AC24="","",IF(AC18=3,N19,IF(AC21=3,N22,IF(AC24=3,N25,""))))</f>
        <v>W0013</v>
      </c>
      <c r="K23" s="29">
        <f>IF(AC24="","",IF(AC18=3,N20,IF(AC21=3,N23,IF(AC24=3,N26,""))))</f>
        <v>0</v>
      </c>
      <c r="M23" s="39" t="str">
        <f>N18</f>
        <v>Runners Up</v>
      </c>
      <c r="N23" s="35"/>
      <c r="O23" s="23"/>
      <c r="P23" s="23"/>
      <c r="Q23" s="40">
        <f>IF(AT23&gt;0,"",IF(A23=0,"",IF(VLOOKUP(A23,'[1]plan gier'!A:S,19,FALSE)="","",VLOOKUP(A23,'[1]plan gier'!A:S,19,FALSE))))</f>
      </c>
      <c r="R23" s="69" t="s">
        <v>18</v>
      </c>
      <c r="S23" s="42">
        <v>12</v>
      </c>
      <c r="T23" s="261"/>
      <c r="U23" s="273">
        <f>IF(N23&lt;&gt;"",CONCATENATE(VLOOKUP(N23,'[1]zawodnicy'!$A:$E,1,FALSE)," ",VLOOKUP(N23,'[1]zawodnicy'!$A:$E,2,FALSE)," ",VLOOKUP(N23,'[1]zawodnicy'!$A:$E,3,FALSE)," - ",VLOOKUP(N23,'[1]zawodnicy'!$A:$E,4,FALSE)),"")</f>
      </c>
      <c r="V23" s="274"/>
      <c r="W23" s="70">
        <f>IF(SUM(AR23:AS23)=0,"",AS23&amp;":"&amp;AR23)</f>
      </c>
      <c r="X23" s="59"/>
      <c r="Y23" s="37">
        <f>IF(SUM(AR22:AS22)=0,"",AR22&amp;":"&amp;AS22)</f>
      </c>
      <c r="Z23" s="261"/>
      <c r="AA23" s="266"/>
      <c r="AB23" s="266"/>
      <c r="AC23" s="269"/>
      <c r="AD23" s="2"/>
      <c r="AE23" s="22"/>
      <c r="AF23" s="22"/>
      <c r="AG23" s="69" t="s">
        <v>18</v>
      </c>
      <c r="AH23" s="71">
        <f>IF(ISBLANK(S23),"",VLOOKUP(S23,'[1]plan gier'!$X:$AN,12,FALSE))</f>
        <v>11</v>
      </c>
      <c r="AI23" s="72">
        <f>IF(ISBLANK(S23),"",VLOOKUP(S23,'[1]plan gier'!$X:$AN,13,FALSE))</f>
        <v>21</v>
      </c>
      <c r="AJ23" s="72">
        <f>IF(ISBLANK(S23),"",VLOOKUP(S23,'[1]plan gier'!$X:$AN,14,FALSE))</f>
        <v>14</v>
      </c>
      <c r="AK23" s="72">
        <f>IF(ISBLANK(S23),"",VLOOKUP(S23,'[1]plan gier'!$X:$AN,15,FALSE))</f>
        <v>21</v>
      </c>
      <c r="AL23" s="72">
        <f>IF(ISBLANK(S23),"",VLOOKUP(S23,'[1]plan gier'!$X:$AN,16,FALSE))</f>
        <v>0</v>
      </c>
      <c r="AM23" s="72">
        <f>IF(ISBLANK(S23),"",VLOOKUP(S23,'[1]plan gier'!$X:$AN,17,FALSE))</f>
        <v>0</v>
      </c>
      <c r="AN23" s="73">
        <f t="shared" si="1"/>
        <v>11</v>
      </c>
      <c r="AO23" s="72">
        <f t="shared" si="1"/>
        <v>21</v>
      </c>
      <c r="AP23" s="74">
        <f t="shared" si="1"/>
        <v>14</v>
      </c>
      <c r="AQ23" s="72">
        <f t="shared" si="1"/>
        <v>21</v>
      </c>
      <c r="AR23" s="74">
        <f t="shared" si="1"/>
        <v>0</v>
      </c>
      <c r="AS23" s="72">
        <f t="shared" si="1"/>
        <v>0</v>
      </c>
      <c r="AT23" s="51">
        <f>SUM(AN23:AS23)</f>
        <v>67</v>
      </c>
      <c r="AU23" s="52">
        <v>3</v>
      </c>
      <c r="AV23" s="71">
        <f>IF(AH21&lt;AI21,1,0)+IF(AJ21&lt;AK21,1,0)+IF(AL21&lt;AM21,1,0)</f>
        <v>2</v>
      </c>
      <c r="AW23" s="72">
        <f>AZ21</f>
        <v>0</v>
      </c>
      <c r="AX23" s="72">
        <f>IF(AH22&lt;AI22,1,0)+IF(AJ22&lt;AK22,1,0)+IF(AL22&lt;AM22,1,0)</f>
        <v>2</v>
      </c>
      <c r="AY23" s="72">
        <f>AZ22</f>
        <v>0</v>
      </c>
      <c r="AZ23" s="75"/>
      <c r="BA23" s="76"/>
      <c r="BD23" s="71">
        <f>AO21+AQ21+AS21+AO22+AQ22+AS22</f>
        <v>84</v>
      </c>
      <c r="BE23" s="77">
        <f>AN21+AP21+AR21+AN22+AP22+AR22</f>
        <v>34</v>
      </c>
      <c r="BF23" s="71">
        <f>AV23+AX23</f>
        <v>4</v>
      </c>
      <c r="BG23" s="77">
        <f>AW23+AY23</f>
        <v>0</v>
      </c>
      <c r="BH23" s="71">
        <f>IF(AV23&gt;AW23,1,0)+IF(AX23&gt;AY23,1,0)</f>
        <v>2</v>
      </c>
      <c r="BI23" s="78">
        <f>IF(AW23&gt;AV23,1,0)+IF(AY23&gt;AX23,1,0)</f>
        <v>0</v>
      </c>
      <c r="BJ23" s="79">
        <f>IF(BH23+BI23=0,"",IF(BK23=MAX(BK21:BK23),1,IF(BK23=MIN(BK21:BK23),3,2)))</f>
        <v>1</v>
      </c>
      <c r="BK23" s="13">
        <f>IF(BH23+BI23&lt;&gt;0,BH23-BI23+(BF23-BG23)/100+(BD23-BE23)/10000,-2)</f>
        <v>2.045</v>
      </c>
    </row>
    <row r="24" spans="1:59" ht="11.25" customHeight="1">
      <c r="A24" s="2"/>
      <c r="J24" s="23"/>
      <c r="K24" s="23"/>
      <c r="L24" s="23"/>
      <c r="O24" s="23"/>
      <c r="P24" s="23"/>
      <c r="Q24" s="2"/>
      <c r="R24" s="2"/>
      <c r="S24" s="2"/>
      <c r="T24" s="279">
        <v>3</v>
      </c>
      <c r="U24" s="280">
        <f>IF(AND(N25&lt;&gt;"",N26&lt;&gt;""),CONCATENATE(VLOOKUP(N25,'[1]zawodnicy'!$A:$E,1,FALSE)," ",VLOOKUP(N25,'[1]zawodnicy'!$A:$E,2,FALSE)," ",VLOOKUP(N25,'[1]zawodnicy'!$A:$E,3,FALSE)," - ",VLOOKUP(N25,'[1]zawodnicy'!$A:$E,4,FALSE)),"")</f>
      </c>
      <c r="V24" s="281"/>
      <c r="W24" s="43" t="str">
        <f>IF(SUM(AN21:AO21)=0,"",AO21&amp;":"&amp;AN21)</f>
        <v>21:9</v>
      </c>
      <c r="X24" s="80" t="str">
        <f>IF(SUM(AN22:AO22)=0,"",AO22&amp;":"&amp;AN22)</f>
        <v>21:12</v>
      </c>
      <c r="Y24" s="81"/>
      <c r="Z24" s="279" t="str">
        <f>IF(SUM(AV23:AY23)=0,"",BD23&amp;":"&amp;BE23)</f>
        <v>84:34</v>
      </c>
      <c r="AA24" s="282" t="str">
        <f>IF(SUM(AV23:AY23)=0,"",BF23&amp;":"&amp;BG23)</f>
        <v>4:0</v>
      </c>
      <c r="AB24" s="282" t="str">
        <f>IF(SUM(AV23:AY23)=0,"",BH23&amp;":"&amp;BI23)</f>
        <v>2:0</v>
      </c>
      <c r="AC24" s="283">
        <f>IF(SUM(BH21:BH23)&gt;0,BJ23,"")</f>
        <v>1</v>
      </c>
      <c r="AD24" s="2"/>
      <c r="AE24" s="22"/>
      <c r="AF24" s="22"/>
      <c r="BD24" s="12">
        <f>SUM(BD21:BD23)</f>
        <v>185</v>
      </c>
      <c r="BE24" s="12">
        <f>SUM(BE21:BE23)</f>
        <v>185</v>
      </c>
      <c r="BF24" s="12">
        <f>SUM(BF21:BF23)</f>
        <v>6</v>
      </c>
      <c r="BG24" s="12">
        <f>SUM(BG21:BG23)</f>
        <v>6</v>
      </c>
    </row>
    <row r="25" spans="1:63" ht="11.25" customHeight="1">
      <c r="A25" s="12"/>
      <c r="J25" s="12"/>
      <c r="K25" s="12"/>
      <c r="L25" s="12"/>
      <c r="N25" s="30" t="s">
        <v>22</v>
      </c>
      <c r="O25" s="31">
        <f>IF(O17&gt;0,(O17&amp;3)*1,"")</f>
        <v>23</v>
      </c>
      <c r="Q25" s="82"/>
      <c r="R25" s="82"/>
      <c r="S25" s="42"/>
      <c r="T25" s="260"/>
      <c r="U25" s="271" t="str">
        <f>IF(AND(N25&lt;&gt;"",N26=""),CONCATENATE(VLOOKUP(N25,'[1]zawodnicy'!$A:$E,1,FALSE)," ",VLOOKUP(N25,'[1]zawodnicy'!$A:$E,2,FALSE)," ",VLOOKUP(N25,'[1]zawodnicy'!$A:$E,3,FALSE)," - ",VLOOKUP(N25,'[1]zawodnicy'!$A:$E,4,FALSE)),"")</f>
        <v>K0014 Zdzisław KULA  - Tarnów</v>
      </c>
      <c r="V25" s="272"/>
      <c r="W25" s="58" t="str">
        <f>IF(SUM(AP21:AQ21)=0,"",AQ21&amp;":"&amp;AP21)</f>
        <v>21:6</v>
      </c>
      <c r="X25" s="33" t="str">
        <f>IF(SUM(AP22:AQ22)=0,"",AQ22&amp;":"&amp;AP22)</f>
        <v>21:7</v>
      </c>
      <c r="Y25" s="83"/>
      <c r="Z25" s="260"/>
      <c r="AA25" s="265"/>
      <c r="AB25" s="265"/>
      <c r="AC25" s="268"/>
      <c r="AD25" s="2"/>
      <c r="AE25" s="22"/>
      <c r="AF25" s="2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1.25" customHeight="1" thickBot="1">
      <c r="A26" s="2"/>
      <c r="J26" s="23"/>
      <c r="K26" s="23"/>
      <c r="L26" s="23"/>
      <c r="N26" s="35"/>
      <c r="O26" s="23"/>
      <c r="P26" s="23"/>
      <c r="Q26" s="2"/>
      <c r="R26" s="2"/>
      <c r="S26" s="2"/>
      <c r="T26" s="284"/>
      <c r="U26" s="287">
        <f>IF(N26&lt;&gt;"",CONCATENATE(VLOOKUP(N26,'[1]zawodnicy'!$A:$E,1,FALSE)," ",VLOOKUP(N26,'[1]zawodnicy'!$A:$E,2,FALSE)," ",VLOOKUP(N26,'[1]zawodnicy'!$A:$E,3,FALSE)," - ",VLOOKUP(N26,'[1]zawodnicy'!$A:$E,4,FALSE)),"")</f>
      </c>
      <c r="V26" s="288"/>
      <c r="W26" s="84">
        <f>IF(SUM(AR21:AS21)=0,"",AS21&amp;":"&amp;AR21)</f>
      </c>
      <c r="X26" s="85">
        <f>IF(SUM(AR22:AS22)=0,"",AS22&amp;":"&amp;AR22)</f>
      </c>
      <c r="Y26" s="86"/>
      <c r="Z26" s="284"/>
      <c r="AA26" s="285"/>
      <c r="AB26" s="285"/>
      <c r="AC26" s="286"/>
      <c r="AD26" s="29"/>
      <c r="AE26" s="22"/>
      <c r="AF26" s="2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ht="11.25" customHeight="1" thickBot="1"/>
    <row r="28" spans="14:32" ht="11.25" customHeight="1" thickBot="1">
      <c r="N28" s="8"/>
      <c r="O28" s="14">
        <v>3</v>
      </c>
      <c r="Q28" s="253" t="str">
        <f>"Grupa "&amp;O28&amp;"."</f>
        <v>Grupa 3.</v>
      </c>
      <c r="R28" s="253"/>
      <c r="S28" s="254"/>
      <c r="T28" s="15" t="s">
        <v>1</v>
      </c>
      <c r="U28" s="255" t="s">
        <v>2</v>
      </c>
      <c r="V28" s="256"/>
      <c r="W28" s="15">
        <v>1</v>
      </c>
      <c r="X28" s="17">
        <v>2</v>
      </c>
      <c r="Y28" s="18">
        <v>3</v>
      </c>
      <c r="Z28" s="19" t="s">
        <v>3</v>
      </c>
      <c r="AA28" s="20" t="s">
        <v>4</v>
      </c>
      <c r="AB28" s="20" t="s">
        <v>5</v>
      </c>
      <c r="AC28" s="21" t="s">
        <v>6</v>
      </c>
      <c r="AD28" s="2"/>
      <c r="AE28" s="22"/>
      <c r="AF28" s="22"/>
    </row>
    <row r="29" spans="10:45" ht="11.25" customHeight="1">
      <c r="J29" s="23"/>
      <c r="K29" s="23"/>
      <c r="L29" s="23"/>
      <c r="N29" s="24" t="s">
        <v>0</v>
      </c>
      <c r="Q29" s="257" t="s">
        <v>7</v>
      </c>
      <c r="R29" s="257"/>
      <c r="S29" s="258" t="s">
        <v>8</v>
      </c>
      <c r="T29" s="259">
        <v>1</v>
      </c>
      <c r="U29" s="262">
        <f>IF(AND(N30&lt;&gt;"",N31&lt;&gt;""),CONCATENATE(VLOOKUP(N30,'[1]zawodnicy'!$A:$E,1,FALSE)," ",VLOOKUP(N30,'[1]zawodnicy'!$A:$E,2,FALSE)," ",VLOOKUP(N30,'[1]zawodnicy'!$A:$E,3,FALSE)," - ",VLOOKUP(N30,'[1]zawodnicy'!$A:$E,4,FALSE)),"")</f>
      </c>
      <c r="V29" s="263"/>
      <c r="W29" s="25"/>
      <c r="X29" s="26" t="str">
        <f>IF(SUM(AN34:AO34)=0,"",AN34&amp;":"&amp;AO34)</f>
        <v>19:21</v>
      </c>
      <c r="Y29" s="27" t="str">
        <f>IF(SUM(AN32:AO32)=0,"",AN32&amp;":"&amp;AO32)</f>
        <v>21:8</v>
      </c>
      <c r="Z29" s="259" t="str">
        <f>IF(SUM(AX32:BA32)=0,"",BD32&amp;":"&amp;BE32)</f>
        <v>94:68</v>
      </c>
      <c r="AA29" s="264" t="str">
        <f>IF(SUM(AX32:BA32)=0,"",BF32&amp;":"&amp;BG32)</f>
        <v>3:2</v>
      </c>
      <c r="AB29" s="264" t="str">
        <f>IF(SUM(AX32:BA32)=0,"",BH32&amp;":"&amp;BI32)</f>
        <v>1:1</v>
      </c>
      <c r="AC29" s="267">
        <f>IF(SUM(BH32:BH34)&gt;0,BJ32,"")</f>
        <v>2</v>
      </c>
      <c r="AD29" s="2"/>
      <c r="AE29" s="22"/>
      <c r="AF29" s="22"/>
      <c r="AG29" s="28"/>
      <c r="AH29" s="270" t="s">
        <v>9</v>
      </c>
      <c r="AI29" s="270"/>
      <c r="AJ29" s="270"/>
      <c r="AK29" s="270"/>
      <c r="AL29" s="270"/>
      <c r="AM29" s="270"/>
      <c r="AN29" s="270" t="s">
        <v>10</v>
      </c>
      <c r="AO29" s="270"/>
      <c r="AP29" s="270"/>
      <c r="AQ29" s="270"/>
      <c r="AR29" s="270"/>
      <c r="AS29" s="270"/>
    </row>
    <row r="30" spans="9:59" ht="11.25" customHeight="1" thickBot="1">
      <c r="I30" s="2" t="str">
        <f>"1"&amp;O28&amp;N29</f>
        <v>13Runners Up</v>
      </c>
      <c r="J30" s="29" t="str">
        <f>IF(AC29="","",IF(AC29=1,N30,IF(AC32=1,N33,IF(AC35=1,N36,""))))</f>
        <v>M0026</v>
      </c>
      <c r="K30" s="29">
        <f>IF(AC29="","",IF(AC29=1,N31,IF(AC32=1,N34,IF(AC35=1,N37,""))))</f>
        <v>0</v>
      </c>
      <c r="L30" s="29"/>
      <c r="N30" s="30" t="s">
        <v>23</v>
      </c>
      <c r="O30" s="31">
        <f>IF(O28&gt;0,(O28&amp;1)*1,"")</f>
        <v>31</v>
      </c>
      <c r="Q30" s="257"/>
      <c r="R30" s="257"/>
      <c r="S30" s="258"/>
      <c r="T30" s="260"/>
      <c r="U30" s="271" t="str">
        <f>IF(AND(N30&lt;&gt;"",N31=""),CONCATENATE(VLOOKUP(N30,'[1]zawodnicy'!$A:$E,1,FALSE)," ",VLOOKUP(N30,'[1]zawodnicy'!$A:$E,2,FALSE)," ",VLOOKUP(N30,'[1]zawodnicy'!$A:$E,3,FALSE)," - ",VLOOKUP(N30,'[1]zawodnicy'!$A:$E,4,FALSE)),"")</f>
        <v>S0032 Łukasz SZANTULA - Mielec</v>
      </c>
      <c r="V30" s="272"/>
      <c r="W30" s="32"/>
      <c r="X30" s="33" t="str">
        <f>IF(SUM(AP34:AQ34)=0,"",AP34&amp;":"&amp;AQ34)</f>
        <v>21:14</v>
      </c>
      <c r="Y30" s="34" t="str">
        <f>IF(SUM(AP32:AQ32)=0,"",AP32&amp;":"&amp;AQ32)</f>
        <v>21:4</v>
      </c>
      <c r="Z30" s="260"/>
      <c r="AA30" s="265"/>
      <c r="AB30" s="265"/>
      <c r="AC30" s="268"/>
      <c r="AD30" s="2"/>
      <c r="AE30" s="22"/>
      <c r="AF30" s="22"/>
      <c r="AG30" s="28"/>
      <c r="BD30" s="12">
        <f>SUM(BD32:BD34)</f>
        <v>216</v>
      </c>
      <c r="BE30" s="12">
        <f>SUM(BE32:BE34)</f>
        <v>216</v>
      </c>
      <c r="BF30" s="12">
        <f>SUM(BF32:BF34)</f>
        <v>7</v>
      </c>
      <c r="BG30" s="12">
        <f>SUM(BG32:BG34)</f>
        <v>7</v>
      </c>
    </row>
    <row r="31" spans="10:63" ht="11.25" customHeight="1" thickBot="1">
      <c r="J31" s="29"/>
      <c r="K31" s="23"/>
      <c r="L31" s="23"/>
      <c r="N31" s="35"/>
      <c r="O31" s="23"/>
      <c r="P31" s="23"/>
      <c r="Q31" s="257"/>
      <c r="R31" s="257"/>
      <c r="S31" s="258"/>
      <c r="T31" s="261"/>
      <c r="U31" s="273">
        <f>IF(N31&lt;&gt;"",CONCATENATE(VLOOKUP(N31,'[1]zawodnicy'!$A:$E,1,FALSE)," ",VLOOKUP(N31,'[1]zawodnicy'!$A:$E,2,FALSE)," ",VLOOKUP(N31,'[1]zawodnicy'!$A:$E,3,FALSE)," - ",VLOOKUP(N31,'[1]zawodnicy'!$A:$E,4,FALSE)),"")</f>
      </c>
      <c r="V31" s="274"/>
      <c r="W31" s="32"/>
      <c r="X31" s="36" t="str">
        <f>IF(SUM(AR34:AS34)=0,"",AR34&amp;":"&amp;AS34)</f>
        <v>12:21</v>
      </c>
      <c r="Y31" s="37">
        <f>IF(SUM(AR32:AS32)=0,"",AR32&amp;":"&amp;AS32)</f>
      </c>
      <c r="Z31" s="261"/>
      <c r="AA31" s="266"/>
      <c r="AB31" s="266"/>
      <c r="AC31" s="269"/>
      <c r="AD31" s="2"/>
      <c r="AE31" s="22"/>
      <c r="AF31" s="22"/>
      <c r="AG31" s="28"/>
      <c r="AH31" s="275" t="s">
        <v>12</v>
      </c>
      <c r="AI31" s="276"/>
      <c r="AJ31" s="277" t="s">
        <v>13</v>
      </c>
      <c r="AK31" s="276"/>
      <c r="AL31" s="277" t="s">
        <v>14</v>
      </c>
      <c r="AM31" s="278"/>
      <c r="AN31" s="275" t="s">
        <v>12</v>
      </c>
      <c r="AO31" s="276"/>
      <c r="AP31" s="277" t="s">
        <v>13</v>
      </c>
      <c r="AQ31" s="276"/>
      <c r="AR31" s="277" t="s">
        <v>14</v>
      </c>
      <c r="AS31" s="276"/>
      <c r="AT31" s="22"/>
      <c r="AU31" s="22"/>
      <c r="AV31" s="275">
        <v>1</v>
      </c>
      <c r="AW31" s="276"/>
      <c r="AX31" s="277">
        <v>2</v>
      </c>
      <c r="AY31" s="276"/>
      <c r="AZ31" s="277">
        <v>3</v>
      </c>
      <c r="BA31" s="278"/>
      <c r="BD31" s="275" t="s">
        <v>3</v>
      </c>
      <c r="BE31" s="278"/>
      <c r="BF31" s="275" t="s">
        <v>4</v>
      </c>
      <c r="BG31" s="278"/>
      <c r="BH31" s="275" t="s">
        <v>5</v>
      </c>
      <c r="BI31" s="278"/>
      <c r="BJ31" s="38" t="s">
        <v>6</v>
      </c>
      <c r="BK31" s="13">
        <f>SUM(BK32:BK34)</f>
        <v>0</v>
      </c>
    </row>
    <row r="32" spans="1:63" ht="11.25" customHeight="1">
      <c r="A32" s="12">
        <f>S32</f>
        <v>3</v>
      </c>
      <c r="B32" s="2" t="str">
        <f>IF(N30="","",N30)</f>
        <v>S0032</v>
      </c>
      <c r="C32" s="2">
        <f>IF(N31="","",N31)</f>
      </c>
      <c r="D32" s="2" t="str">
        <f>IF(N36="","",N36)</f>
        <v>S0034</v>
      </c>
      <c r="E32" s="2">
        <f>IF(N37="","",N37)</f>
      </c>
      <c r="I32" s="2" t="str">
        <f>"2"&amp;O28&amp;N29</f>
        <v>23Runners Up</v>
      </c>
      <c r="J32" s="29" t="str">
        <f>IF(AC32="","",IF(AC29=2,N30,IF(AC32=2,N33,IF(AC35=2,N36,""))))</f>
        <v>S0032</v>
      </c>
      <c r="K32" s="29">
        <f>IF(AC32="","",IF(AC29=2,N31,IF(AC32=2,N34,IF(AC35=2,N37,""))))</f>
        <v>0</v>
      </c>
      <c r="M32" s="39" t="str">
        <f>N29</f>
        <v>Runners Up</v>
      </c>
      <c r="O32" s="23"/>
      <c r="P32" s="23"/>
      <c r="Q32" s="40">
        <f>IF(AT32&gt;0,"",IF(A32=0,"",IF(VLOOKUP(A32,'[1]plan gier'!A:S,19,FALSE)="","",VLOOKUP(A32,'[1]plan gier'!A:S,19,FALSE))))</f>
      </c>
      <c r="R32" s="41" t="s">
        <v>15</v>
      </c>
      <c r="S32" s="42">
        <v>3</v>
      </c>
      <c r="T32" s="279">
        <v>2</v>
      </c>
      <c r="U32" s="280">
        <f>IF(AND(N33&lt;&gt;"",N34&lt;&gt;""),CONCATENATE(VLOOKUP(N33,'[1]zawodnicy'!$A:$E,1,FALSE)," ",VLOOKUP(N33,'[1]zawodnicy'!$A:$E,2,FALSE)," ",VLOOKUP(N33,'[1]zawodnicy'!$A:$E,3,FALSE)," - ",VLOOKUP(N33,'[1]zawodnicy'!$A:$E,4,FALSE)),"")</f>
      </c>
      <c r="V32" s="281"/>
      <c r="W32" s="43" t="str">
        <f>IF(SUM(AN34:AO34)=0,"",AO34&amp;":"&amp;AN34)</f>
        <v>21:19</v>
      </c>
      <c r="X32" s="44"/>
      <c r="Y32" s="45" t="str">
        <f>IF(SUM(AN33:AO33)=0,"",AN33&amp;":"&amp;AO33)</f>
        <v>21:11</v>
      </c>
      <c r="Z32" s="279" t="str">
        <f>IF(SUM(AV33:AW33,AZ33:BA33)=0,"",BD33&amp;":"&amp;BE33)</f>
        <v>98:64</v>
      </c>
      <c r="AA32" s="282" t="str">
        <f>IF(SUM(AV33:AW33,AZ33:BA33)=0,"",BF33&amp;":"&amp;BG33)</f>
        <v>4:1</v>
      </c>
      <c r="AB32" s="282" t="str">
        <f>IF(SUM(AV33:AW33,AZ33:BA33)=0,"",BH33&amp;":"&amp;BI33)</f>
        <v>2:0</v>
      </c>
      <c r="AC32" s="283">
        <f>IF(SUM(BH32:BH34)&gt;0,BJ33,"")</f>
        <v>1</v>
      </c>
      <c r="AD32" s="2"/>
      <c r="AE32" s="22"/>
      <c r="AF32" s="22"/>
      <c r="AG32" s="41" t="s">
        <v>15</v>
      </c>
      <c r="AH32" s="46">
        <f>IF(ISBLANK(S32),"",VLOOKUP(S32,'[1]plan gier'!$X:$AN,12,FALSE))</f>
        <v>21</v>
      </c>
      <c r="AI32" s="47">
        <f>IF(ISBLANK(S32),"",VLOOKUP(S32,'[1]plan gier'!$X:$AN,13,FALSE))</f>
        <v>8</v>
      </c>
      <c r="AJ32" s="47">
        <f>IF(ISBLANK(S32),"",VLOOKUP(S32,'[1]plan gier'!$X:$AN,14,FALSE))</f>
        <v>21</v>
      </c>
      <c r="AK32" s="47">
        <f>IF(ISBLANK(S32),"",VLOOKUP(S32,'[1]plan gier'!$X:$AN,15,FALSE))</f>
        <v>4</v>
      </c>
      <c r="AL32" s="47">
        <f>IF(ISBLANK(S32),"",VLOOKUP(S32,'[1]plan gier'!$X:$AN,16,FALSE))</f>
        <v>0</v>
      </c>
      <c r="AM32" s="47">
        <f>IF(ISBLANK(S32),"",VLOOKUP(S32,'[1]plan gier'!$X:$AN,17,FALSE))</f>
        <v>0</v>
      </c>
      <c r="AN32" s="48">
        <f aca="true" t="shared" si="2" ref="AN32:AS34">IF(AH32="",0,AH32)</f>
        <v>21</v>
      </c>
      <c r="AO32" s="49">
        <f t="shared" si="2"/>
        <v>8</v>
      </c>
      <c r="AP32" s="50">
        <f t="shared" si="2"/>
        <v>21</v>
      </c>
      <c r="AQ32" s="49">
        <f t="shared" si="2"/>
        <v>4</v>
      </c>
      <c r="AR32" s="50">
        <f t="shared" si="2"/>
        <v>0</v>
      </c>
      <c r="AS32" s="49">
        <f t="shared" si="2"/>
        <v>0</v>
      </c>
      <c r="AT32" s="51">
        <f>SUM(AN32:AS32)</f>
        <v>54</v>
      </c>
      <c r="AU32" s="52">
        <v>1</v>
      </c>
      <c r="AV32" s="53"/>
      <c r="AW32" s="54"/>
      <c r="AX32" s="47">
        <f>IF(AH34&gt;AI34,1,0)+IF(AJ34&gt;AK34,1,0)+IF(AL34&gt;AM34,1,0)</f>
        <v>1</v>
      </c>
      <c r="AY32" s="47">
        <f>AV33</f>
        <v>2</v>
      </c>
      <c r="AZ32" s="47">
        <f>IF(AH32&gt;AI32,1,0)+IF(AJ32&gt;AK32,1,0)+IF(AL32&gt;AM32,1,0)</f>
        <v>2</v>
      </c>
      <c r="BA32" s="55">
        <f>AV34</f>
        <v>0</v>
      </c>
      <c r="BD32" s="46">
        <f>AN32+AP32+AR32+AN34+AP34+AR34</f>
        <v>94</v>
      </c>
      <c r="BE32" s="55">
        <f>AO32+AQ32+AS32+AO34+AQ34+AS34</f>
        <v>68</v>
      </c>
      <c r="BF32" s="46">
        <f>AX32+AZ32</f>
        <v>3</v>
      </c>
      <c r="BG32" s="55">
        <f>AY32+BA32</f>
        <v>2</v>
      </c>
      <c r="BH32" s="46">
        <f>IF(AX32&gt;AY32,1,0)+IF(AZ32&gt;BA32,1,0)</f>
        <v>1</v>
      </c>
      <c r="BI32" s="56">
        <f>IF(AY32&gt;AX32,1,0)+IF(BA32&gt;AZ32,1,0)</f>
        <v>1</v>
      </c>
      <c r="BJ32" s="57">
        <f>IF(BH32+BI32=0,"",IF(BK32=MAX(BK32:BK34),1,IF(BK32=MIN(BK32:BK34),3,2)))</f>
        <v>2</v>
      </c>
      <c r="BK32" s="13">
        <f>IF(BH32+BI32&lt;&gt;0,BH32-BI32+(BF32-BG32)/100+(BD32-BE32)/10000,-2)</f>
        <v>0.0126</v>
      </c>
    </row>
    <row r="33" spans="1:63" ht="11.25" customHeight="1">
      <c r="A33" s="12">
        <f>S33</f>
        <v>8</v>
      </c>
      <c r="B33" s="2" t="str">
        <f>IF(N33="","",N33)</f>
        <v>M0026</v>
      </c>
      <c r="C33" s="2">
        <f>IF(N34="","",N34)</f>
      </c>
      <c r="D33" s="2" t="str">
        <f>IF(N36="","",N36)</f>
        <v>S0034</v>
      </c>
      <c r="E33" s="2">
        <f>IF(N37="","",N37)</f>
      </c>
      <c r="J33" s="29"/>
      <c r="K33" s="12"/>
      <c r="M33" s="39" t="str">
        <f>N29</f>
        <v>Runners Up</v>
      </c>
      <c r="N33" s="30" t="s">
        <v>24</v>
      </c>
      <c r="O33" s="31">
        <f>IF(O28&gt;0,(O28&amp;2)*1,"")</f>
        <v>32</v>
      </c>
      <c r="Q33" s="40">
        <f>IF(AT33&gt;0,"",IF(A33=0,"",IF(VLOOKUP(A33,'[1]plan gier'!A:S,19,FALSE)="","",VLOOKUP(A33,'[1]plan gier'!A:S,19,FALSE))))</f>
      </c>
      <c r="R33" s="41" t="s">
        <v>17</v>
      </c>
      <c r="S33" s="42">
        <v>8</v>
      </c>
      <c r="T33" s="260"/>
      <c r="U33" s="271" t="str">
        <f>IF(AND(N33&lt;&gt;"",N34=""),CONCATENATE(VLOOKUP(N33,'[1]zawodnicy'!$A:$E,1,FALSE)," ",VLOOKUP(N33,'[1]zawodnicy'!$A:$E,2,FALSE)," ",VLOOKUP(N33,'[1]zawodnicy'!$A:$E,3,FALSE)," - ",VLOOKUP(N33,'[1]zawodnicy'!$A:$E,4,FALSE)),"")</f>
        <v>M0026 Wojciech MACHAJ - Mielec</v>
      </c>
      <c r="V33" s="272"/>
      <c r="W33" s="58" t="str">
        <f>IF(SUM(AP34:AQ34)=0,"",AQ34&amp;":"&amp;AP34)</f>
        <v>14:21</v>
      </c>
      <c r="X33" s="59"/>
      <c r="Y33" s="34" t="str">
        <f>IF(SUM(AP33:AQ33)=0,"",AP33&amp;":"&amp;AQ33)</f>
        <v>21:1</v>
      </c>
      <c r="Z33" s="260"/>
      <c r="AA33" s="265"/>
      <c r="AB33" s="265"/>
      <c r="AC33" s="268"/>
      <c r="AD33" s="2"/>
      <c r="AE33" s="22"/>
      <c r="AF33" s="22"/>
      <c r="AG33" s="41" t="s">
        <v>17</v>
      </c>
      <c r="AH33" s="60">
        <f>IF(ISBLANK(S33),"",VLOOKUP(S33,'[1]plan gier'!$X:$AN,12,FALSE))</f>
        <v>21</v>
      </c>
      <c r="AI33" s="61">
        <f>IF(ISBLANK(S33),"",VLOOKUP(S33,'[1]plan gier'!$X:$AN,13,FALSE))</f>
        <v>11</v>
      </c>
      <c r="AJ33" s="61">
        <f>IF(ISBLANK(S33),"",VLOOKUP(S33,'[1]plan gier'!$X:$AN,14,FALSE))</f>
        <v>21</v>
      </c>
      <c r="AK33" s="61">
        <f>IF(ISBLANK(S33),"",VLOOKUP(S33,'[1]plan gier'!$X:$AN,15,FALSE))</f>
        <v>1</v>
      </c>
      <c r="AL33" s="61">
        <f>IF(ISBLANK(S33),"",VLOOKUP(S33,'[1]plan gier'!$X:$AN,16,FALSE))</f>
        <v>0</v>
      </c>
      <c r="AM33" s="61">
        <f>IF(ISBLANK(S33),"",VLOOKUP(S33,'[1]plan gier'!$X:$AN,17,FALSE))</f>
        <v>0</v>
      </c>
      <c r="AN33" s="62">
        <f t="shared" si="2"/>
        <v>21</v>
      </c>
      <c r="AO33" s="61">
        <f t="shared" si="2"/>
        <v>11</v>
      </c>
      <c r="AP33" s="63">
        <f t="shared" si="2"/>
        <v>21</v>
      </c>
      <c r="AQ33" s="61">
        <f t="shared" si="2"/>
        <v>1</v>
      </c>
      <c r="AR33" s="63">
        <f t="shared" si="2"/>
        <v>0</v>
      </c>
      <c r="AS33" s="61">
        <f t="shared" si="2"/>
        <v>0</v>
      </c>
      <c r="AT33" s="51">
        <f>SUM(AN33:AS33)</f>
        <v>54</v>
      </c>
      <c r="AU33" s="52">
        <v>2</v>
      </c>
      <c r="AV33" s="60">
        <f>IF(AH34&lt;AI34,1,0)+IF(AJ34&lt;AK34,1,0)+IF(AL34&lt;AM34,1,0)</f>
        <v>2</v>
      </c>
      <c r="AW33" s="61">
        <f>AX32</f>
        <v>1</v>
      </c>
      <c r="AX33" s="64"/>
      <c r="AY33" s="65"/>
      <c r="AZ33" s="61">
        <f>IF(AH33&gt;AI33,1,0)+IF(AJ33&gt;AK33,1,0)+IF(AL33&gt;AM33,1,0)</f>
        <v>2</v>
      </c>
      <c r="BA33" s="66">
        <f>AX34</f>
        <v>0</v>
      </c>
      <c r="BD33" s="60">
        <f>AN33+AP33+AR33+AO34+AQ34+AS34</f>
        <v>98</v>
      </c>
      <c r="BE33" s="66">
        <f>AO33+AQ33+AS33+AN34+AP34+AR34</f>
        <v>64</v>
      </c>
      <c r="BF33" s="60">
        <f>AV33+AZ33</f>
        <v>4</v>
      </c>
      <c r="BG33" s="66">
        <f>AW33+BA33</f>
        <v>1</v>
      </c>
      <c r="BH33" s="60">
        <f>IF(AV33&gt;AW33,1,0)+IF(AZ33&gt;BA33,1,0)</f>
        <v>2</v>
      </c>
      <c r="BI33" s="67">
        <f>IF(AW33&gt;AV33,1,0)+IF(BA33&gt;AZ33,1,0)</f>
        <v>0</v>
      </c>
      <c r="BJ33" s="68">
        <f>IF(BH33+BI33=0,"",IF(BK33=MAX(BK32:BK34),1,IF(BK33=MIN(BK32:BK34),3,2)))</f>
        <v>1</v>
      </c>
      <c r="BK33" s="13">
        <f>IF(BH33+BI33&lt;&gt;0,BH33-BI33+(BF33-BG33)/100+(BD33-BE33)/10000,-2)</f>
        <v>2.0334</v>
      </c>
    </row>
    <row r="34" spans="1:63" ht="11.25" customHeight="1" thickBot="1">
      <c r="A34" s="12">
        <f>S34</f>
        <v>13</v>
      </c>
      <c r="B34" s="2" t="str">
        <f>IF(N30="","",N30)</f>
        <v>S0032</v>
      </c>
      <c r="C34" s="2">
        <f>IF(N31="","",N31)</f>
      </c>
      <c r="D34" s="2" t="str">
        <f>IF(N33="","",N33)</f>
        <v>M0026</v>
      </c>
      <c r="E34" s="2">
        <f>IF(N34="","",N34)</f>
      </c>
      <c r="I34" s="2" t="str">
        <f>"3"&amp;O28&amp;N29</f>
        <v>33Runners Up</v>
      </c>
      <c r="J34" s="29" t="str">
        <f>IF(AC35="","",IF(AC29=3,N30,IF(AC32=3,N33,IF(AC35=3,N36,""))))</f>
        <v>S0034</v>
      </c>
      <c r="K34" s="29">
        <f>IF(AC35="","",IF(AC29=3,N31,IF(AC32=3,N34,IF(AC35=3,N37,""))))</f>
        <v>0</v>
      </c>
      <c r="M34" s="39" t="str">
        <f>N29</f>
        <v>Runners Up</v>
      </c>
      <c r="N34" s="35"/>
      <c r="O34" s="23"/>
      <c r="P34" s="23"/>
      <c r="Q34" s="40">
        <f>IF(AT34&gt;0,"",IF(A34=0,"",IF(VLOOKUP(A34,'[1]plan gier'!A:S,19,FALSE)="","",VLOOKUP(A34,'[1]plan gier'!A:S,19,FALSE))))</f>
      </c>
      <c r="R34" s="69" t="s">
        <v>18</v>
      </c>
      <c r="S34" s="42">
        <v>13</v>
      </c>
      <c r="T34" s="261"/>
      <c r="U34" s="273">
        <f>IF(N34&lt;&gt;"",CONCATENATE(VLOOKUP(N34,'[1]zawodnicy'!$A:$E,1,FALSE)," ",VLOOKUP(N34,'[1]zawodnicy'!$A:$E,2,FALSE)," ",VLOOKUP(N34,'[1]zawodnicy'!$A:$E,3,FALSE)," - ",VLOOKUP(N34,'[1]zawodnicy'!$A:$E,4,FALSE)),"")</f>
      </c>
      <c r="V34" s="274"/>
      <c r="W34" s="70" t="str">
        <f>IF(SUM(AR34:AS34)=0,"",AS34&amp;":"&amp;AR34)</f>
        <v>21:12</v>
      </c>
      <c r="X34" s="59"/>
      <c r="Y34" s="37">
        <f>IF(SUM(AR33:AS33)=0,"",AR33&amp;":"&amp;AS33)</f>
      </c>
      <c r="Z34" s="261"/>
      <c r="AA34" s="266"/>
      <c r="AB34" s="266"/>
      <c r="AC34" s="269"/>
      <c r="AD34" s="2"/>
      <c r="AE34" s="22"/>
      <c r="AF34" s="22"/>
      <c r="AG34" s="69" t="s">
        <v>18</v>
      </c>
      <c r="AH34" s="71">
        <f>IF(ISBLANK(S34),"",VLOOKUP(S34,'[1]plan gier'!$X:$AN,12,FALSE))</f>
        <v>19</v>
      </c>
      <c r="AI34" s="72">
        <f>IF(ISBLANK(S34),"",VLOOKUP(S34,'[1]plan gier'!$X:$AN,13,FALSE))</f>
        <v>21</v>
      </c>
      <c r="AJ34" s="72">
        <f>IF(ISBLANK(S34),"",VLOOKUP(S34,'[1]plan gier'!$X:$AN,14,FALSE))</f>
        <v>21</v>
      </c>
      <c r="AK34" s="72">
        <f>IF(ISBLANK(S34),"",VLOOKUP(S34,'[1]plan gier'!$X:$AN,15,FALSE))</f>
        <v>14</v>
      </c>
      <c r="AL34" s="72">
        <f>IF(ISBLANK(S34),"",VLOOKUP(S34,'[1]plan gier'!$X:$AN,16,FALSE))</f>
        <v>12</v>
      </c>
      <c r="AM34" s="72">
        <f>IF(ISBLANK(S34),"",VLOOKUP(S34,'[1]plan gier'!$X:$AN,17,FALSE))</f>
        <v>21</v>
      </c>
      <c r="AN34" s="73">
        <f t="shared" si="2"/>
        <v>19</v>
      </c>
      <c r="AO34" s="72">
        <f t="shared" si="2"/>
        <v>21</v>
      </c>
      <c r="AP34" s="74">
        <f t="shared" si="2"/>
        <v>21</v>
      </c>
      <c r="AQ34" s="72">
        <f t="shared" si="2"/>
        <v>14</v>
      </c>
      <c r="AR34" s="74">
        <f t="shared" si="2"/>
        <v>12</v>
      </c>
      <c r="AS34" s="72">
        <f t="shared" si="2"/>
        <v>21</v>
      </c>
      <c r="AT34" s="51">
        <f>SUM(AN34:AS34)</f>
        <v>108</v>
      </c>
      <c r="AU34" s="52">
        <v>3</v>
      </c>
      <c r="AV34" s="71">
        <f>IF(AH32&lt;AI32,1,0)+IF(AJ32&lt;AK32,1,0)+IF(AL32&lt;AM32,1,0)</f>
        <v>0</v>
      </c>
      <c r="AW34" s="72">
        <f>AZ32</f>
        <v>2</v>
      </c>
      <c r="AX34" s="72">
        <f>IF(AH33&lt;AI33,1,0)+IF(AJ33&lt;AK33,1,0)+IF(AL33&lt;AM33,1,0)</f>
        <v>0</v>
      </c>
      <c r="AY34" s="72">
        <f>AZ33</f>
        <v>2</v>
      </c>
      <c r="AZ34" s="75"/>
      <c r="BA34" s="76"/>
      <c r="BD34" s="71">
        <f>AO32+AQ32+AS32+AO33+AQ33+AS33</f>
        <v>24</v>
      </c>
      <c r="BE34" s="77">
        <f>AN32+AP32+AR32+AN33+AP33+AR33</f>
        <v>84</v>
      </c>
      <c r="BF34" s="71">
        <f>AV34+AX34</f>
        <v>0</v>
      </c>
      <c r="BG34" s="77">
        <f>AW34+AY34</f>
        <v>4</v>
      </c>
      <c r="BH34" s="71">
        <f>IF(AV34&gt;AW34,1,0)+IF(AX34&gt;AY34,1,0)</f>
        <v>0</v>
      </c>
      <c r="BI34" s="78">
        <f>IF(AW34&gt;AV34,1,0)+IF(AY34&gt;AX34,1,0)</f>
        <v>2</v>
      </c>
      <c r="BJ34" s="79">
        <f>IF(BH34+BI34=0,"",IF(BK34=MAX(BK32:BK34),1,IF(BK34=MIN(BK32:BK34),3,2)))</f>
        <v>3</v>
      </c>
      <c r="BK34" s="13">
        <f>IF(BH34+BI34&lt;&gt;0,BH34-BI34+(BF34-BG34)/100+(BD34-BE34)/10000,-2)</f>
        <v>-2.046</v>
      </c>
    </row>
    <row r="35" spans="1:59" ht="11.25" customHeight="1">
      <c r="A35" s="2"/>
      <c r="J35" s="23"/>
      <c r="K35" s="23"/>
      <c r="L35" s="23"/>
      <c r="O35" s="23"/>
      <c r="P35" s="23"/>
      <c r="Q35" s="2"/>
      <c r="R35" s="2"/>
      <c r="S35" s="2"/>
      <c r="T35" s="279">
        <v>3</v>
      </c>
      <c r="U35" s="280">
        <f>IF(AND(N36&lt;&gt;"",N37&lt;&gt;""),CONCATENATE(VLOOKUP(N36,'[1]zawodnicy'!$A:$E,1,FALSE)," ",VLOOKUP(N36,'[1]zawodnicy'!$A:$E,2,FALSE)," ",VLOOKUP(N36,'[1]zawodnicy'!$A:$E,3,FALSE)," - ",VLOOKUP(N36,'[1]zawodnicy'!$A:$E,4,FALSE)),"")</f>
      </c>
      <c r="V35" s="281"/>
      <c r="W35" s="43" t="str">
        <f>IF(SUM(AN32:AO32)=0,"",AO32&amp;":"&amp;AN32)</f>
        <v>8:21</v>
      </c>
      <c r="X35" s="80" t="str">
        <f>IF(SUM(AN33:AO33)=0,"",AO33&amp;":"&amp;AN33)</f>
        <v>11:21</v>
      </c>
      <c r="Y35" s="81"/>
      <c r="Z35" s="279" t="str">
        <f>IF(SUM(AV34:AY34)=0,"",BD34&amp;":"&amp;BE34)</f>
        <v>24:84</v>
      </c>
      <c r="AA35" s="282" t="str">
        <f>IF(SUM(AV34:AY34)=0,"",BF34&amp;":"&amp;BG34)</f>
        <v>0:4</v>
      </c>
      <c r="AB35" s="282" t="str">
        <f>IF(SUM(AV34:AY34)=0,"",BH34&amp;":"&amp;BI34)</f>
        <v>0:2</v>
      </c>
      <c r="AC35" s="283">
        <f>IF(SUM(BH32:BH34)&gt;0,BJ34,"")</f>
        <v>3</v>
      </c>
      <c r="AD35" s="2"/>
      <c r="AE35" s="22"/>
      <c r="AF35" s="22"/>
      <c r="BD35" s="12">
        <f>SUM(BD32:BD34)</f>
        <v>216</v>
      </c>
      <c r="BE35" s="12">
        <f>SUM(BE32:BE34)</f>
        <v>216</v>
      </c>
      <c r="BF35" s="12">
        <f>SUM(BF32:BF34)</f>
        <v>7</v>
      </c>
      <c r="BG35" s="12">
        <f>SUM(BG32:BG34)</f>
        <v>7</v>
      </c>
    </row>
    <row r="36" spans="1:63" ht="11.25" customHeight="1">
      <c r="A36" s="12"/>
      <c r="J36" s="12"/>
      <c r="K36" s="12"/>
      <c r="L36" s="12"/>
      <c r="N36" s="30" t="s">
        <v>25</v>
      </c>
      <c r="O36" s="31">
        <f>IF(O28&gt;0,(O28&amp;3)*1,"")</f>
        <v>33</v>
      </c>
      <c r="Q36" s="82"/>
      <c r="R36" s="82"/>
      <c r="S36" s="42"/>
      <c r="T36" s="260"/>
      <c r="U36" s="271" t="str">
        <f>IF(AND(N36&lt;&gt;"",N37=""),CONCATENATE(VLOOKUP(N36,'[1]zawodnicy'!$A:$E,1,FALSE)," ",VLOOKUP(N36,'[1]zawodnicy'!$A:$E,2,FALSE)," ",VLOOKUP(N36,'[1]zawodnicy'!$A:$E,3,FALSE)," - ",VLOOKUP(N36,'[1]zawodnicy'!$A:$E,4,FALSE)),"")</f>
        <v>S0034 Kuba SITEK - Rzeszów</v>
      </c>
      <c r="V36" s="272"/>
      <c r="W36" s="58" t="str">
        <f>IF(SUM(AP32:AQ32)=0,"",AQ32&amp;":"&amp;AP32)</f>
        <v>4:21</v>
      </c>
      <c r="X36" s="33" t="str">
        <f>IF(SUM(AP33:AQ33)=0,"",AQ33&amp;":"&amp;AP33)</f>
        <v>1:21</v>
      </c>
      <c r="Y36" s="83"/>
      <c r="Z36" s="260"/>
      <c r="AA36" s="265"/>
      <c r="AB36" s="265"/>
      <c r="AC36" s="268"/>
      <c r="AD36" s="2"/>
      <c r="AE36" s="22"/>
      <c r="AF36" s="2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1.25" customHeight="1" thickBot="1">
      <c r="A37" s="2"/>
      <c r="J37" s="23"/>
      <c r="K37" s="23"/>
      <c r="L37" s="23"/>
      <c r="N37" s="35"/>
      <c r="O37" s="23"/>
      <c r="P37" s="23"/>
      <c r="Q37" s="2"/>
      <c r="R37" s="2"/>
      <c r="S37" s="2"/>
      <c r="T37" s="284"/>
      <c r="U37" s="287">
        <f>IF(N37&lt;&gt;"",CONCATENATE(VLOOKUP(N37,'[1]zawodnicy'!$A:$E,1,FALSE)," ",VLOOKUP(N37,'[1]zawodnicy'!$A:$E,2,FALSE)," ",VLOOKUP(N37,'[1]zawodnicy'!$A:$E,3,FALSE)," - ",VLOOKUP(N37,'[1]zawodnicy'!$A:$E,4,FALSE)),"")</f>
      </c>
      <c r="V37" s="288"/>
      <c r="W37" s="84">
        <f>IF(SUM(AR32:AS32)=0,"",AS32&amp;":"&amp;AR32)</f>
      </c>
      <c r="X37" s="85">
        <f>IF(SUM(AR33:AS33)=0,"",AS33&amp;":"&amp;AR33)</f>
      </c>
      <c r="Y37" s="86"/>
      <c r="Z37" s="284"/>
      <c r="AA37" s="285"/>
      <c r="AB37" s="285"/>
      <c r="AC37" s="286"/>
      <c r="AD37" s="29"/>
      <c r="AE37" s="22"/>
      <c r="AF37" s="2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ht="11.25" customHeight="1" thickBot="1"/>
    <row r="39" spans="14:32" ht="11.25" customHeight="1" thickBot="1">
      <c r="N39" s="8"/>
      <c r="O39" s="14">
        <v>4</v>
      </c>
      <c r="Q39" s="253" t="str">
        <f>"Grupa "&amp;O39&amp;"."</f>
        <v>Grupa 4.</v>
      </c>
      <c r="R39" s="253"/>
      <c r="S39" s="254"/>
      <c r="T39" s="15" t="s">
        <v>1</v>
      </c>
      <c r="U39" s="255" t="s">
        <v>2</v>
      </c>
      <c r="V39" s="256"/>
      <c r="W39" s="15">
        <v>1</v>
      </c>
      <c r="X39" s="17">
        <v>2</v>
      </c>
      <c r="Y39" s="18">
        <v>3</v>
      </c>
      <c r="Z39" s="19" t="s">
        <v>3</v>
      </c>
      <c r="AA39" s="20" t="s">
        <v>4</v>
      </c>
      <c r="AB39" s="20" t="s">
        <v>5</v>
      </c>
      <c r="AC39" s="21" t="s">
        <v>6</v>
      </c>
      <c r="AD39" s="2"/>
      <c r="AE39" s="22"/>
      <c r="AF39" s="22"/>
    </row>
    <row r="40" spans="10:45" ht="11.25" customHeight="1">
      <c r="J40" s="23"/>
      <c r="K40" s="23"/>
      <c r="L40" s="23"/>
      <c r="N40" s="24" t="s">
        <v>0</v>
      </c>
      <c r="Q40" s="257" t="s">
        <v>7</v>
      </c>
      <c r="R40" s="257"/>
      <c r="S40" s="258" t="s">
        <v>8</v>
      </c>
      <c r="T40" s="259">
        <v>1</v>
      </c>
      <c r="U40" s="262">
        <f>IF(AND(N41&lt;&gt;"",N42&lt;&gt;""),CONCATENATE(VLOOKUP(N41,'[1]zawodnicy'!$A:$E,1,FALSE)," ",VLOOKUP(N41,'[1]zawodnicy'!$A:$E,2,FALSE)," ",VLOOKUP(N41,'[1]zawodnicy'!$A:$E,3,FALSE)," - ",VLOOKUP(N41,'[1]zawodnicy'!$A:$E,4,FALSE)),"")</f>
      </c>
      <c r="V40" s="263"/>
      <c r="W40" s="25"/>
      <c r="X40" s="26" t="str">
        <f>IF(SUM(AN45:AO45)=0,"",AN45&amp;":"&amp;AO45)</f>
        <v>21:15</v>
      </c>
      <c r="Y40" s="27" t="str">
        <f>IF(SUM(AN43:AO43)=0,"",AN43&amp;":"&amp;AO43)</f>
        <v>21:9</v>
      </c>
      <c r="Z40" s="259" t="str">
        <f>IF(SUM(AX43:BA43)=0,"",BD43&amp;":"&amp;BE43)</f>
        <v>84:43</v>
      </c>
      <c r="AA40" s="264" t="str">
        <f>IF(SUM(AX43:BA43)=0,"",BF43&amp;":"&amp;BG43)</f>
        <v>4:0</v>
      </c>
      <c r="AB40" s="264" t="str">
        <f>IF(SUM(AX43:BA43)=0,"",BH43&amp;":"&amp;BI43)</f>
        <v>2:0</v>
      </c>
      <c r="AC40" s="267">
        <f>IF(SUM(BH43:BH45)&gt;0,BJ43,"")</f>
        <v>1</v>
      </c>
      <c r="AD40" s="2"/>
      <c r="AE40" s="22"/>
      <c r="AF40" s="22"/>
      <c r="AG40" s="28"/>
      <c r="AH40" s="270" t="s">
        <v>9</v>
      </c>
      <c r="AI40" s="270"/>
      <c r="AJ40" s="270"/>
      <c r="AK40" s="270"/>
      <c r="AL40" s="270"/>
      <c r="AM40" s="270"/>
      <c r="AN40" s="270" t="s">
        <v>10</v>
      </c>
      <c r="AO40" s="270"/>
      <c r="AP40" s="270"/>
      <c r="AQ40" s="270"/>
      <c r="AR40" s="270"/>
      <c r="AS40" s="270"/>
    </row>
    <row r="41" spans="9:59" ht="11.25" customHeight="1" thickBot="1">
      <c r="I41" s="2" t="str">
        <f>"1"&amp;O39&amp;N40</f>
        <v>14Runners Up</v>
      </c>
      <c r="J41" s="29" t="str">
        <f>IF(AC40="","",IF(AC40=1,N41,IF(AC43=1,N44,IF(AC46=1,N47,""))))</f>
        <v>S0029</v>
      </c>
      <c r="K41" s="29">
        <f>IF(AC40="","",IF(AC40=1,N42,IF(AC43=1,N45,IF(AC46=1,N48,""))))</f>
        <v>0</v>
      </c>
      <c r="L41" s="29"/>
      <c r="N41" s="30" t="s">
        <v>26</v>
      </c>
      <c r="O41" s="31">
        <f>IF(O39&gt;0,(O39&amp;1)*1,"")</f>
        <v>41</v>
      </c>
      <c r="Q41" s="257"/>
      <c r="R41" s="257"/>
      <c r="S41" s="258"/>
      <c r="T41" s="260"/>
      <c r="U41" s="271" t="str">
        <f>IF(AND(N41&lt;&gt;"",N42=""),CONCATENATE(VLOOKUP(N41,'[1]zawodnicy'!$A:$E,1,FALSE)," ",VLOOKUP(N41,'[1]zawodnicy'!$A:$E,2,FALSE)," ",VLOOKUP(N41,'[1]zawodnicy'!$A:$E,3,FALSE)," - ",VLOOKUP(N41,'[1]zawodnicy'!$A:$E,4,FALSE)),"")</f>
        <v>S0029 Patryk STOLARZ - Mielec</v>
      </c>
      <c r="V41" s="272"/>
      <c r="W41" s="32"/>
      <c r="X41" s="33" t="str">
        <f>IF(SUM(AP45:AQ45)=0,"",AP45&amp;":"&amp;AQ45)</f>
        <v>21:10</v>
      </c>
      <c r="Y41" s="34" t="str">
        <f>IF(SUM(AP43:AQ43)=0,"",AP43&amp;":"&amp;AQ43)</f>
        <v>21:9</v>
      </c>
      <c r="Z41" s="260"/>
      <c r="AA41" s="265"/>
      <c r="AB41" s="265"/>
      <c r="AC41" s="268"/>
      <c r="AD41" s="2"/>
      <c r="AE41" s="22"/>
      <c r="AF41" s="22"/>
      <c r="AG41" s="28"/>
      <c r="BD41" s="12">
        <f>SUM(BD43:BD45)</f>
        <v>185</v>
      </c>
      <c r="BE41" s="12">
        <f>SUM(BE43:BE45)</f>
        <v>185</v>
      </c>
      <c r="BF41" s="12">
        <f>SUM(BF43:BF45)</f>
        <v>6</v>
      </c>
      <c r="BG41" s="12">
        <f>SUM(BG43:BG45)</f>
        <v>6</v>
      </c>
    </row>
    <row r="42" spans="10:63" ht="11.25" customHeight="1" thickBot="1">
      <c r="J42" s="29"/>
      <c r="K42" s="23"/>
      <c r="L42" s="23"/>
      <c r="N42" s="35"/>
      <c r="O42" s="23"/>
      <c r="P42" s="23"/>
      <c r="Q42" s="257"/>
      <c r="R42" s="257"/>
      <c r="S42" s="258"/>
      <c r="T42" s="261"/>
      <c r="U42" s="273">
        <f>IF(N42&lt;&gt;"",CONCATENATE(VLOOKUP(N42,'[1]zawodnicy'!$A:$E,1,FALSE)," ",VLOOKUP(N42,'[1]zawodnicy'!$A:$E,2,FALSE)," ",VLOOKUP(N42,'[1]zawodnicy'!$A:$E,3,FALSE)," - ",VLOOKUP(N42,'[1]zawodnicy'!$A:$E,4,FALSE)),"")</f>
      </c>
      <c r="V42" s="274"/>
      <c r="W42" s="32"/>
      <c r="X42" s="36">
        <f>IF(SUM(AR45:AS45)=0,"",AR45&amp;":"&amp;AS45)</f>
      </c>
      <c r="Y42" s="37">
        <f>IF(SUM(AR43:AS43)=0,"",AR43&amp;":"&amp;AS43)</f>
      </c>
      <c r="Z42" s="261"/>
      <c r="AA42" s="266"/>
      <c r="AB42" s="266"/>
      <c r="AC42" s="269"/>
      <c r="AD42" s="2"/>
      <c r="AE42" s="22"/>
      <c r="AF42" s="22"/>
      <c r="AG42" s="28"/>
      <c r="AH42" s="275" t="s">
        <v>12</v>
      </c>
      <c r="AI42" s="276"/>
      <c r="AJ42" s="277" t="s">
        <v>13</v>
      </c>
      <c r="AK42" s="276"/>
      <c r="AL42" s="277" t="s">
        <v>14</v>
      </c>
      <c r="AM42" s="278"/>
      <c r="AN42" s="275" t="s">
        <v>12</v>
      </c>
      <c r="AO42" s="276"/>
      <c r="AP42" s="277" t="s">
        <v>13</v>
      </c>
      <c r="AQ42" s="276"/>
      <c r="AR42" s="277" t="s">
        <v>14</v>
      </c>
      <c r="AS42" s="276"/>
      <c r="AT42" s="22"/>
      <c r="AU42" s="22"/>
      <c r="AV42" s="275">
        <v>1</v>
      </c>
      <c r="AW42" s="276"/>
      <c r="AX42" s="277">
        <v>2</v>
      </c>
      <c r="AY42" s="276"/>
      <c r="AZ42" s="277">
        <v>3</v>
      </c>
      <c r="BA42" s="278"/>
      <c r="BD42" s="275" t="s">
        <v>3</v>
      </c>
      <c r="BE42" s="278"/>
      <c r="BF42" s="275" t="s">
        <v>4</v>
      </c>
      <c r="BG42" s="278"/>
      <c r="BH42" s="275" t="s">
        <v>5</v>
      </c>
      <c r="BI42" s="278"/>
      <c r="BJ42" s="38" t="s">
        <v>6</v>
      </c>
      <c r="BK42" s="13">
        <f>SUM(BK43:BK45)</f>
        <v>0</v>
      </c>
    </row>
    <row r="43" spans="1:63" ht="11.25" customHeight="1">
      <c r="A43" s="12">
        <f>S43</f>
        <v>4</v>
      </c>
      <c r="B43" s="2" t="str">
        <f>IF(N41="","",N41)</f>
        <v>S0029</v>
      </c>
      <c r="C43" s="2">
        <f>IF(N42="","",N42)</f>
      </c>
      <c r="D43" s="2" t="str">
        <f>IF(N47="","",N47)</f>
        <v>P0021</v>
      </c>
      <c r="E43" s="2">
        <f>IF(N48="","",N48)</f>
      </c>
      <c r="I43" s="2" t="str">
        <f>"2"&amp;O39&amp;N40</f>
        <v>24Runners Up</v>
      </c>
      <c r="J43" s="29" t="str">
        <f>IF(AC43="","",IF(AC40=2,N41,IF(AC43=2,N44,IF(AC46=2,N47,""))))</f>
        <v>G0013</v>
      </c>
      <c r="K43" s="29">
        <f>IF(AC43="","",IF(AC40=2,N42,IF(AC43=2,N45,IF(AC46=2,N48,""))))</f>
        <v>0</v>
      </c>
      <c r="M43" s="39" t="str">
        <f>N40</f>
        <v>Runners Up</v>
      </c>
      <c r="O43" s="23"/>
      <c r="P43" s="23"/>
      <c r="Q43" s="40">
        <f>IF(AT43&gt;0,"",IF(A43=0,"",IF(VLOOKUP(A43,'[1]plan gier'!A:S,19,FALSE)="","",VLOOKUP(A43,'[1]plan gier'!A:S,19,FALSE))))</f>
      </c>
      <c r="R43" s="41" t="s">
        <v>15</v>
      </c>
      <c r="S43" s="42">
        <v>4</v>
      </c>
      <c r="T43" s="279">
        <v>2</v>
      </c>
      <c r="U43" s="280">
        <f>IF(AND(N44&lt;&gt;"",N45&lt;&gt;""),CONCATENATE(VLOOKUP(N44,'[1]zawodnicy'!$A:$E,1,FALSE)," ",VLOOKUP(N44,'[1]zawodnicy'!$A:$E,2,FALSE)," ",VLOOKUP(N44,'[1]zawodnicy'!$A:$E,3,FALSE)," - ",VLOOKUP(N44,'[1]zawodnicy'!$A:$E,4,FALSE)),"")</f>
      </c>
      <c r="V43" s="281"/>
      <c r="W43" s="43" t="str">
        <f>IF(SUM(AN45:AO45)=0,"",AO45&amp;":"&amp;AN45)</f>
        <v>15:21</v>
      </c>
      <c r="X43" s="44"/>
      <c r="Y43" s="45" t="str">
        <f>IF(SUM(AN44:AO44)=0,"",AN44&amp;":"&amp;AO44)</f>
        <v>21:7</v>
      </c>
      <c r="Z43" s="279" t="str">
        <f>IF(SUM(AV44:AW44,AZ44:BA44)=0,"",BD44&amp;":"&amp;BE44)</f>
        <v>67:58</v>
      </c>
      <c r="AA43" s="282" t="str">
        <f>IF(SUM(AV44:AW44,AZ44:BA44)=0,"",BF44&amp;":"&amp;BG44)</f>
        <v>2:2</v>
      </c>
      <c r="AB43" s="282" t="str">
        <f>IF(SUM(AV44:AW44,AZ44:BA44)=0,"",BH44&amp;":"&amp;BI44)</f>
        <v>1:1</v>
      </c>
      <c r="AC43" s="283">
        <f>IF(SUM(BH43:BH45)&gt;0,BJ44,"")</f>
        <v>2</v>
      </c>
      <c r="AD43" s="2"/>
      <c r="AE43" s="22"/>
      <c r="AF43" s="22"/>
      <c r="AG43" s="41" t="s">
        <v>15</v>
      </c>
      <c r="AH43" s="46">
        <f>IF(ISBLANK(S43),"",VLOOKUP(S43,'[1]plan gier'!$X:$AN,12,FALSE))</f>
        <v>21</v>
      </c>
      <c r="AI43" s="47">
        <f>IF(ISBLANK(S43),"",VLOOKUP(S43,'[1]plan gier'!$X:$AN,13,FALSE))</f>
        <v>9</v>
      </c>
      <c r="AJ43" s="47">
        <f>IF(ISBLANK(S43),"",VLOOKUP(S43,'[1]plan gier'!$X:$AN,14,FALSE))</f>
        <v>21</v>
      </c>
      <c r="AK43" s="47">
        <f>IF(ISBLANK(S43),"",VLOOKUP(S43,'[1]plan gier'!$X:$AN,15,FALSE))</f>
        <v>9</v>
      </c>
      <c r="AL43" s="47">
        <f>IF(ISBLANK(S43),"",VLOOKUP(S43,'[1]plan gier'!$X:$AN,16,FALSE))</f>
        <v>0</v>
      </c>
      <c r="AM43" s="47">
        <f>IF(ISBLANK(S43),"",VLOOKUP(S43,'[1]plan gier'!$X:$AN,17,FALSE))</f>
        <v>0</v>
      </c>
      <c r="AN43" s="48">
        <f aca="true" t="shared" si="3" ref="AN43:AS45">IF(AH43="",0,AH43)</f>
        <v>21</v>
      </c>
      <c r="AO43" s="49">
        <f t="shared" si="3"/>
        <v>9</v>
      </c>
      <c r="AP43" s="50">
        <f t="shared" si="3"/>
        <v>21</v>
      </c>
      <c r="AQ43" s="49">
        <f t="shared" si="3"/>
        <v>9</v>
      </c>
      <c r="AR43" s="50">
        <f t="shared" si="3"/>
        <v>0</v>
      </c>
      <c r="AS43" s="49">
        <f t="shared" si="3"/>
        <v>0</v>
      </c>
      <c r="AT43" s="51">
        <f>SUM(AN43:AS43)</f>
        <v>60</v>
      </c>
      <c r="AU43" s="52">
        <v>1</v>
      </c>
      <c r="AV43" s="53"/>
      <c r="AW43" s="54"/>
      <c r="AX43" s="47">
        <f>IF(AH45&gt;AI45,1,0)+IF(AJ45&gt;AK45,1,0)+IF(AL45&gt;AM45,1,0)</f>
        <v>2</v>
      </c>
      <c r="AY43" s="47">
        <f>AV44</f>
        <v>0</v>
      </c>
      <c r="AZ43" s="47">
        <f>IF(AH43&gt;AI43,1,0)+IF(AJ43&gt;AK43,1,0)+IF(AL43&gt;AM43,1,0)</f>
        <v>2</v>
      </c>
      <c r="BA43" s="55">
        <f>AV45</f>
        <v>0</v>
      </c>
      <c r="BD43" s="46">
        <f>AN43+AP43+AR43+AN45+AP45+AR45</f>
        <v>84</v>
      </c>
      <c r="BE43" s="55">
        <f>AO43+AQ43+AS43+AO45+AQ45+AS45</f>
        <v>43</v>
      </c>
      <c r="BF43" s="46">
        <f>AX43+AZ43</f>
        <v>4</v>
      </c>
      <c r="BG43" s="55">
        <f>AY43+BA43</f>
        <v>0</v>
      </c>
      <c r="BH43" s="46">
        <f>IF(AX43&gt;AY43,1,0)+IF(AZ43&gt;BA43,1,0)</f>
        <v>2</v>
      </c>
      <c r="BI43" s="56">
        <f>IF(AY43&gt;AX43,1,0)+IF(BA43&gt;AZ43,1,0)</f>
        <v>0</v>
      </c>
      <c r="BJ43" s="57">
        <f>IF(BH43+BI43=0,"",IF(BK43=MAX(BK43:BK45),1,IF(BK43=MIN(BK43:BK45),3,2)))</f>
        <v>1</v>
      </c>
      <c r="BK43" s="13">
        <f>IF(BH43+BI43&lt;&gt;0,BH43-BI43+(BF43-BG43)/100+(BD43-BE43)/10000,-2)</f>
        <v>2.0441000000000003</v>
      </c>
    </row>
    <row r="44" spans="1:63" ht="11.25" customHeight="1">
      <c r="A44" s="12">
        <f>S44</f>
        <v>9</v>
      </c>
      <c r="B44" s="2" t="str">
        <f>IF(N44="","",N44)</f>
        <v>G0013</v>
      </c>
      <c r="C44" s="2">
        <f>IF(N45="","",N45)</f>
      </c>
      <c r="D44" s="2" t="str">
        <f>IF(N47="","",N47)</f>
        <v>P0021</v>
      </c>
      <c r="E44" s="2">
        <f>IF(N48="","",N48)</f>
      </c>
      <c r="J44" s="29"/>
      <c r="K44" s="12"/>
      <c r="M44" s="39" t="str">
        <f>N40</f>
        <v>Runners Up</v>
      </c>
      <c r="N44" s="30" t="s">
        <v>27</v>
      </c>
      <c r="O44" s="31">
        <f>IF(O39&gt;0,(O39&amp;2)*1,"")</f>
        <v>42</v>
      </c>
      <c r="Q44" s="40">
        <f>IF(AT44&gt;0,"",IF(A44=0,"",IF(VLOOKUP(A44,'[1]plan gier'!A:S,19,FALSE)="","",VLOOKUP(A44,'[1]plan gier'!A:S,19,FALSE))))</f>
      </c>
      <c r="R44" s="41" t="s">
        <v>17</v>
      </c>
      <c r="S44" s="42">
        <v>9</v>
      </c>
      <c r="T44" s="260"/>
      <c r="U44" s="271" t="str">
        <f>IF(AND(N44&lt;&gt;"",N45=""),CONCATENATE(VLOOKUP(N44,'[1]zawodnicy'!$A:$E,1,FALSE)," ",VLOOKUP(N44,'[1]zawodnicy'!$A:$E,2,FALSE)," ",VLOOKUP(N44,'[1]zawodnicy'!$A:$E,3,FALSE)," - ",VLOOKUP(N44,'[1]zawodnicy'!$A:$E,4,FALSE)),"")</f>
        <v>G0013 Bartosz GROCHOCKI - Mielec</v>
      </c>
      <c r="V44" s="272"/>
      <c r="W44" s="58" t="str">
        <f>IF(SUM(AP45:AQ45)=0,"",AQ45&amp;":"&amp;AP45)</f>
        <v>10:21</v>
      </c>
      <c r="X44" s="59"/>
      <c r="Y44" s="34" t="str">
        <f>IF(SUM(AP44:AQ44)=0,"",AP44&amp;":"&amp;AQ44)</f>
        <v>21:9</v>
      </c>
      <c r="Z44" s="260"/>
      <c r="AA44" s="265"/>
      <c r="AB44" s="265"/>
      <c r="AC44" s="268"/>
      <c r="AD44" s="2"/>
      <c r="AE44" s="22"/>
      <c r="AF44" s="22"/>
      <c r="AG44" s="41" t="s">
        <v>17</v>
      </c>
      <c r="AH44" s="60">
        <f>IF(ISBLANK(S44),"",VLOOKUP(S44,'[1]plan gier'!$X:$AN,12,FALSE))</f>
        <v>21</v>
      </c>
      <c r="AI44" s="61">
        <f>IF(ISBLANK(S44),"",VLOOKUP(S44,'[1]plan gier'!$X:$AN,13,FALSE))</f>
        <v>7</v>
      </c>
      <c r="AJ44" s="61">
        <f>IF(ISBLANK(S44),"",VLOOKUP(S44,'[1]plan gier'!$X:$AN,14,FALSE))</f>
        <v>21</v>
      </c>
      <c r="AK44" s="61">
        <f>IF(ISBLANK(S44),"",VLOOKUP(S44,'[1]plan gier'!$X:$AN,15,FALSE))</f>
        <v>9</v>
      </c>
      <c r="AL44" s="61">
        <f>IF(ISBLANK(S44),"",VLOOKUP(S44,'[1]plan gier'!$X:$AN,16,FALSE))</f>
        <v>0</v>
      </c>
      <c r="AM44" s="61">
        <f>IF(ISBLANK(S44),"",VLOOKUP(S44,'[1]plan gier'!$X:$AN,17,FALSE))</f>
        <v>0</v>
      </c>
      <c r="AN44" s="62">
        <f t="shared" si="3"/>
        <v>21</v>
      </c>
      <c r="AO44" s="61">
        <f t="shared" si="3"/>
        <v>7</v>
      </c>
      <c r="AP44" s="63">
        <f t="shared" si="3"/>
        <v>21</v>
      </c>
      <c r="AQ44" s="61">
        <f t="shared" si="3"/>
        <v>9</v>
      </c>
      <c r="AR44" s="63">
        <f t="shared" si="3"/>
        <v>0</v>
      </c>
      <c r="AS44" s="61">
        <f t="shared" si="3"/>
        <v>0</v>
      </c>
      <c r="AT44" s="51">
        <f>SUM(AN44:AS44)</f>
        <v>58</v>
      </c>
      <c r="AU44" s="52">
        <v>2</v>
      </c>
      <c r="AV44" s="60">
        <f>IF(AH45&lt;AI45,1,0)+IF(AJ45&lt;AK45,1,0)+IF(AL45&lt;AM45,1,0)</f>
        <v>0</v>
      </c>
      <c r="AW44" s="61">
        <f>AX43</f>
        <v>2</v>
      </c>
      <c r="AX44" s="64"/>
      <c r="AY44" s="65"/>
      <c r="AZ44" s="61">
        <f>IF(AH44&gt;AI44,1,0)+IF(AJ44&gt;AK44,1,0)+IF(AL44&gt;AM44,1,0)</f>
        <v>2</v>
      </c>
      <c r="BA44" s="66">
        <f>AX45</f>
        <v>0</v>
      </c>
      <c r="BD44" s="60">
        <f>AN44+AP44+AR44+AO45+AQ45+AS45</f>
        <v>67</v>
      </c>
      <c r="BE44" s="66">
        <f>AO44+AQ44+AS44+AN45+AP45+AR45</f>
        <v>58</v>
      </c>
      <c r="BF44" s="60">
        <f>AV44+AZ44</f>
        <v>2</v>
      </c>
      <c r="BG44" s="66">
        <f>AW44+BA44</f>
        <v>2</v>
      </c>
      <c r="BH44" s="60">
        <f>IF(AV44&gt;AW44,1,0)+IF(AZ44&gt;BA44,1,0)</f>
        <v>1</v>
      </c>
      <c r="BI44" s="67">
        <f>IF(AW44&gt;AV44,1,0)+IF(BA44&gt;AZ44,1,0)</f>
        <v>1</v>
      </c>
      <c r="BJ44" s="68">
        <f>IF(BH44+BI44=0,"",IF(BK44=MAX(BK43:BK45),1,IF(BK44=MIN(BK43:BK45),3,2)))</f>
        <v>2</v>
      </c>
      <c r="BK44" s="13">
        <f>IF(BH44+BI44&lt;&gt;0,BH44-BI44+(BF44-BG44)/100+(BD44-BE44)/10000,-2)</f>
        <v>0.0009</v>
      </c>
    </row>
    <row r="45" spans="1:63" ht="11.25" customHeight="1" thickBot="1">
      <c r="A45" s="12">
        <f>S45</f>
        <v>14</v>
      </c>
      <c r="B45" s="2" t="str">
        <f>IF(N41="","",N41)</f>
        <v>S0029</v>
      </c>
      <c r="C45" s="2">
        <f>IF(N42="","",N42)</f>
      </c>
      <c r="D45" s="2" t="str">
        <f>IF(N44="","",N44)</f>
        <v>G0013</v>
      </c>
      <c r="E45" s="2">
        <f>IF(N45="","",N45)</f>
      </c>
      <c r="I45" s="2" t="str">
        <f>"3"&amp;O39&amp;N40</f>
        <v>34Runners Up</v>
      </c>
      <c r="J45" s="29" t="str">
        <f>IF(AC46="","",IF(AC40=3,N41,IF(AC43=3,N44,IF(AC46=3,N47,""))))</f>
        <v>P0021</v>
      </c>
      <c r="K45" s="29">
        <f>IF(AC46="","",IF(AC40=3,N42,IF(AC43=3,N45,IF(AC46=3,N48,""))))</f>
        <v>0</v>
      </c>
      <c r="M45" s="39" t="str">
        <f>N40</f>
        <v>Runners Up</v>
      </c>
      <c r="N45" s="35"/>
      <c r="O45" s="23"/>
      <c r="P45" s="23"/>
      <c r="Q45" s="40">
        <f>IF(AT45&gt;0,"",IF(A45=0,"",IF(VLOOKUP(A45,'[1]plan gier'!A:S,19,FALSE)="","",VLOOKUP(A45,'[1]plan gier'!A:S,19,FALSE))))</f>
      </c>
      <c r="R45" s="69" t="s">
        <v>18</v>
      </c>
      <c r="S45" s="42">
        <v>14</v>
      </c>
      <c r="T45" s="261"/>
      <c r="U45" s="273">
        <f>IF(N45&lt;&gt;"",CONCATENATE(VLOOKUP(N45,'[1]zawodnicy'!$A:$E,1,FALSE)," ",VLOOKUP(N45,'[1]zawodnicy'!$A:$E,2,FALSE)," ",VLOOKUP(N45,'[1]zawodnicy'!$A:$E,3,FALSE)," - ",VLOOKUP(N45,'[1]zawodnicy'!$A:$E,4,FALSE)),"")</f>
      </c>
      <c r="V45" s="274"/>
      <c r="W45" s="70">
        <f>IF(SUM(AR45:AS45)=0,"",AS45&amp;":"&amp;AR45)</f>
      </c>
      <c r="X45" s="59"/>
      <c r="Y45" s="37">
        <f>IF(SUM(AR44:AS44)=0,"",AR44&amp;":"&amp;AS44)</f>
      </c>
      <c r="Z45" s="261"/>
      <c r="AA45" s="266"/>
      <c r="AB45" s="266"/>
      <c r="AC45" s="269"/>
      <c r="AD45" s="2"/>
      <c r="AE45" s="22"/>
      <c r="AF45" s="22"/>
      <c r="AG45" s="69" t="s">
        <v>18</v>
      </c>
      <c r="AH45" s="71">
        <f>IF(ISBLANK(S45),"",VLOOKUP(S45,'[1]plan gier'!$X:$AN,12,FALSE))</f>
        <v>21</v>
      </c>
      <c r="AI45" s="72">
        <f>IF(ISBLANK(S45),"",VLOOKUP(S45,'[1]plan gier'!$X:$AN,13,FALSE))</f>
        <v>15</v>
      </c>
      <c r="AJ45" s="72">
        <f>IF(ISBLANK(S45),"",VLOOKUP(S45,'[1]plan gier'!$X:$AN,14,FALSE))</f>
        <v>21</v>
      </c>
      <c r="AK45" s="72">
        <f>IF(ISBLANK(S45),"",VLOOKUP(S45,'[1]plan gier'!$X:$AN,15,FALSE))</f>
        <v>10</v>
      </c>
      <c r="AL45" s="72">
        <f>IF(ISBLANK(S45),"",VLOOKUP(S45,'[1]plan gier'!$X:$AN,16,FALSE))</f>
        <v>0</v>
      </c>
      <c r="AM45" s="72">
        <f>IF(ISBLANK(S45),"",VLOOKUP(S45,'[1]plan gier'!$X:$AN,17,FALSE))</f>
        <v>0</v>
      </c>
      <c r="AN45" s="73">
        <f t="shared" si="3"/>
        <v>21</v>
      </c>
      <c r="AO45" s="72">
        <f t="shared" si="3"/>
        <v>15</v>
      </c>
      <c r="AP45" s="74">
        <f t="shared" si="3"/>
        <v>21</v>
      </c>
      <c r="AQ45" s="72">
        <f t="shared" si="3"/>
        <v>10</v>
      </c>
      <c r="AR45" s="74">
        <f t="shared" si="3"/>
        <v>0</v>
      </c>
      <c r="AS45" s="72">
        <f t="shared" si="3"/>
        <v>0</v>
      </c>
      <c r="AT45" s="51">
        <f>SUM(AN45:AS45)</f>
        <v>67</v>
      </c>
      <c r="AU45" s="52">
        <v>3</v>
      </c>
      <c r="AV45" s="71">
        <f>IF(AH43&lt;AI43,1,0)+IF(AJ43&lt;AK43,1,0)+IF(AL43&lt;AM43,1,0)</f>
        <v>0</v>
      </c>
      <c r="AW45" s="72">
        <f>AZ43</f>
        <v>2</v>
      </c>
      <c r="AX45" s="72">
        <f>IF(AH44&lt;AI44,1,0)+IF(AJ44&lt;AK44,1,0)+IF(AL44&lt;AM44,1,0)</f>
        <v>0</v>
      </c>
      <c r="AY45" s="72">
        <f>AZ44</f>
        <v>2</v>
      </c>
      <c r="AZ45" s="75"/>
      <c r="BA45" s="76"/>
      <c r="BD45" s="71">
        <f>AO43+AQ43+AS43+AO44+AQ44+AS44</f>
        <v>34</v>
      </c>
      <c r="BE45" s="77">
        <f>AN43+AP43+AR43+AN44+AP44+AR44</f>
        <v>84</v>
      </c>
      <c r="BF45" s="71">
        <f>AV45+AX45</f>
        <v>0</v>
      </c>
      <c r="BG45" s="77">
        <f>AW45+AY45</f>
        <v>4</v>
      </c>
      <c r="BH45" s="71">
        <f>IF(AV45&gt;AW45,1,0)+IF(AX45&gt;AY45,1,0)</f>
        <v>0</v>
      </c>
      <c r="BI45" s="78">
        <f>IF(AW45&gt;AV45,1,0)+IF(AY45&gt;AX45,1,0)</f>
        <v>2</v>
      </c>
      <c r="BJ45" s="79">
        <f>IF(BH45+BI45=0,"",IF(BK45=MAX(BK43:BK45),1,IF(BK45=MIN(BK43:BK45),3,2)))</f>
        <v>3</v>
      </c>
      <c r="BK45" s="13">
        <f>IF(BH45+BI45&lt;&gt;0,BH45-BI45+(BF45-BG45)/100+(BD45-BE45)/10000,-2)</f>
        <v>-2.045</v>
      </c>
    </row>
    <row r="46" spans="1:59" ht="11.25" customHeight="1">
      <c r="A46" s="2"/>
      <c r="J46" s="23"/>
      <c r="K46" s="23"/>
      <c r="L46" s="23"/>
      <c r="O46" s="23"/>
      <c r="P46" s="23"/>
      <c r="Q46" s="2"/>
      <c r="R46" s="2"/>
      <c r="S46" s="2"/>
      <c r="T46" s="279">
        <v>3</v>
      </c>
      <c r="U46" s="280">
        <f>IF(AND(N47&lt;&gt;"",N48&lt;&gt;""),CONCATENATE(VLOOKUP(N47,'[1]zawodnicy'!$A:$E,1,FALSE)," ",VLOOKUP(N47,'[1]zawodnicy'!$A:$E,2,FALSE)," ",VLOOKUP(N47,'[1]zawodnicy'!$A:$E,3,FALSE)," - ",VLOOKUP(N47,'[1]zawodnicy'!$A:$E,4,FALSE)),"")</f>
      </c>
      <c r="V46" s="281"/>
      <c r="W46" s="43" t="str">
        <f>IF(SUM(AN43:AO43)=0,"",AO43&amp;":"&amp;AN43)</f>
        <v>9:21</v>
      </c>
      <c r="X46" s="80" t="str">
        <f>IF(SUM(AN44:AO44)=0,"",AO44&amp;":"&amp;AN44)</f>
        <v>7:21</v>
      </c>
      <c r="Y46" s="81"/>
      <c r="Z46" s="279" t="str">
        <f>IF(SUM(AV45:AY45)=0,"",BD45&amp;":"&amp;BE45)</f>
        <v>34:84</v>
      </c>
      <c r="AA46" s="282" t="str">
        <f>IF(SUM(AV45:AY45)=0,"",BF45&amp;":"&amp;BG45)</f>
        <v>0:4</v>
      </c>
      <c r="AB46" s="282" t="str">
        <f>IF(SUM(AV45:AY45)=0,"",BH45&amp;":"&amp;BI45)</f>
        <v>0:2</v>
      </c>
      <c r="AC46" s="283">
        <f>IF(SUM(BH43:BH45)&gt;0,BJ45,"")</f>
        <v>3</v>
      </c>
      <c r="AD46" s="2"/>
      <c r="AE46" s="22"/>
      <c r="AF46" s="22"/>
      <c r="BD46" s="12">
        <f>SUM(BD43:BD45)</f>
        <v>185</v>
      </c>
      <c r="BE46" s="12">
        <f>SUM(BE43:BE45)</f>
        <v>185</v>
      </c>
      <c r="BF46" s="12">
        <f>SUM(BF43:BF45)</f>
        <v>6</v>
      </c>
      <c r="BG46" s="12">
        <f>SUM(BG43:BG45)</f>
        <v>6</v>
      </c>
    </row>
    <row r="47" spans="1:63" ht="11.25" customHeight="1">
      <c r="A47" s="12"/>
      <c r="J47" s="12"/>
      <c r="K47" s="12"/>
      <c r="L47" s="12"/>
      <c r="N47" s="30" t="s">
        <v>28</v>
      </c>
      <c r="O47" s="31">
        <f>IF(O39&gt;0,(O39&amp;3)*1,"")</f>
        <v>43</v>
      </c>
      <c r="Q47" s="82"/>
      <c r="R47" s="82"/>
      <c r="S47" s="42"/>
      <c r="T47" s="260"/>
      <c r="U47" s="271" t="str">
        <f>IF(AND(N47&lt;&gt;"",N48=""),CONCATENATE(VLOOKUP(N47,'[1]zawodnicy'!$A:$E,1,FALSE)," ",VLOOKUP(N47,'[1]zawodnicy'!$A:$E,2,FALSE)," ",VLOOKUP(N47,'[1]zawodnicy'!$A:$E,3,FALSE)," - ",VLOOKUP(N47,'[1]zawodnicy'!$A:$E,4,FALSE)),"")</f>
        <v>P0021 Mikołaj POLAŃSKI - Rzeszów</v>
      </c>
      <c r="V47" s="272"/>
      <c r="W47" s="58" t="str">
        <f>IF(SUM(AP43:AQ43)=0,"",AQ43&amp;":"&amp;AP43)</f>
        <v>9:21</v>
      </c>
      <c r="X47" s="33" t="str">
        <f>IF(SUM(AP44:AQ44)=0,"",AQ44&amp;":"&amp;AP44)</f>
        <v>9:21</v>
      </c>
      <c r="Y47" s="83"/>
      <c r="Z47" s="260"/>
      <c r="AA47" s="265"/>
      <c r="AB47" s="265"/>
      <c r="AC47" s="268"/>
      <c r="AD47" s="2"/>
      <c r="AE47" s="22"/>
      <c r="AF47" s="2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1.25" customHeight="1" thickBot="1">
      <c r="A48" s="2"/>
      <c r="J48" s="23"/>
      <c r="K48" s="23"/>
      <c r="L48" s="23"/>
      <c r="N48" s="35"/>
      <c r="O48" s="23"/>
      <c r="P48" s="23"/>
      <c r="Q48" s="2"/>
      <c r="R48" s="2"/>
      <c r="S48" s="2"/>
      <c r="T48" s="284"/>
      <c r="U48" s="287">
        <f>IF(N48&lt;&gt;"",CONCATENATE(VLOOKUP(N48,'[1]zawodnicy'!$A:$E,1,FALSE)," ",VLOOKUP(N48,'[1]zawodnicy'!$A:$E,2,FALSE)," ",VLOOKUP(N48,'[1]zawodnicy'!$A:$E,3,FALSE)," - ",VLOOKUP(N48,'[1]zawodnicy'!$A:$E,4,FALSE)),"")</f>
      </c>
      <c r="V48" s="288"/>
      <c r="W48" s="84">
        <f>IF(SUM(AR43:AS43)=0,"",AS43&amp;":"&amp;AR43)</f>
      </c>
      <c r="X48" s="85">
        <f>IF(SUM(AR44:AS44)=0,"",AS44&amp;":"&amp;AR44)</f>
      </c>
      <c r="Y48" s="86"/>
      <c r="Z48" s="284"/>
      <c r="AA48" s="285"/>
      <c r="AB48" s="285"/>
      <c r="AC48" s="286"/>
      <c r="AD48" s="29"/>
      <c r="AE48" s="22"/>
      <c r="AF48" s="2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ht="11.25" customHeight="1" thickBot="1"/>
    <row r="50" spans="14:32" ht="11.25" customHeight="1" thickBot="1">
      <c r="N50" s="8"/>
      <c r="O50" s="14">
        <v>5</v>
      </c>
      <c r="Q50" s="253" t="str">
        <f>"Grupa "&amp;O50&amp;"."</f>
        <v>Grupa 5.</v>
      </c>
      <c r="R50" s="253"/>
      <c r="S50" s="254"/>
      <c r="T50" s="15" t="s">
        <v>1</v>
      </c>
      <c r="U50" s="255" t="s">
        <v>2</v>
      </c>
      <c r="V50" s="256"/>
      <c r="W50" s="15">
        <v>1</v>
      </c>
      <c r="X50" s="17">
        <v>2</v>
      </c>
      <c r="Y50" s="18">
        <v>3</v>
      </c>
      <c r="Z50" s="19" t="s">
        <v>3</v>
      </c>
      <c r="AA50" s="20" t="s">
        <v>4</v>
      </c>
      <c r="AB50" s="20" t="s">
        <v>5</v>
      </c>
      <c r="AC50" s="21" t="s">
        <v>6</v>
      </c>
      <c r="AD50" s="2"/>
      <c r="AE50" s="22"/>
      <c r="AF50" s="22"/>
    </row>
    <row r="51" spans="10:45" ht="11.25" customHeight="1">
      <c r="J51" s="23"/>
      <c r="K51" s="23"/>
      <c r="L51" s="23"/>
      <c r="N51" s="24" t="s">
        <v>0</v>
      </c>
      <c r="Q51" s="257" t="s">
        <v>7</v>
      </c>
      <c r="R51" s="257"/>
      <c r="S51" s="258" t="s">
        <v>8</v>
      </c>
      <c r="T51" s="259">
        <v>1</v>
      </c>
      <c r="U51" s="262">
        <f>IF(AND(N52&lt;&gt;"",N53&lt;&gt;""),CONCATENATE(VLOOKUP(N52,'[1]zawodnicy'!$A:$E,1,FALSE)," ",VLOOKUP(N52,'[1]zawodnicy'!$A:$E,2,FALSE)," ",VLOOKUP(N52,'[1]zawodnicy'!$A:$E,3,FALSE)," - ",VLOOKUP(N52,'[1]zawodnicy'!$A:$E,4,FALSE)),"")</f>
      </c>
      <c r="V51" s="263"/>
      <c r="W51" s="25"/>
      <c r="X51" s="26" t="str">
        <f>IF(SUM(AN56:AO56)=0,"",AN56&amp;":"&amp;AO56)</f>
        <v>21:7</v>
      </c>
      <c r="Y51" s="27" t="str">
        <f>IF(SUM(AN54:AO54)=0,"",AN54&amp;":"&amp;AO54)</f>
        <v>21:17</v>
      </c>
      <c r="Z51" s="259" t="str">
        <f>IF(SUM(AX54:BA54)=0,"",BD54&amp;":"&amp;BE54)</f>
        <v>100:57</v>
      </c>
      <c r="AA51" s="264" t="str">
        <f>IF(SUM(AX54:BA54)=0,"",BF54&amp;":"&amp;BG54)</f>
        <v>4:1</v>
      </c>
      <c r="AB51" s="264" t="str">
        <f>IF(SUM(AX54:BA54)=0,"",BH54&amp;":"&amp;BI54)</f>
        <v>2:0</v>
      </c>
      <c r="AC51" s="267">
        <f>IF(SUM(BH54:BH56)&gt;0,BJ54,"")</f>
        <v>1</v>
      </c>
      <c r="AD51" s="2"/>
      <c r="AE51" s="22"/>
      <c r="AF51" s="22"/>
      <c r="AG51" s="28"/>
      <c r="AH51" s="270" t="s">
        <v>9</v>
      </c>
      <c r="AI51" s="270"/>
      <c r="AJ51" s="270"/>
      <c r="AK51" s="270"/>
      <c r="AL51" s="270"/>
      <c r="AM51" s="270"/>
      <c r="AN51" s="270" t="s">
        <v>10</v>
      </c>
      <c r="AO51" s="270"/>
      <c r="AP51" s="270"/>
      <c r="AQ51" s="270"/>
      <c r="AR51" s="270"/>
      <c r="AS51" s="270"/>
    </row>
    <row r="52" spans="9:59" ht="11.25" customHeight="1" thickBot="1">
      <c r="I52" s="2" t="str">
        <f>"1"&amp;O50&amp;N51</f>
        <v>15Runners Up</v>
      </c>
      <c r="J52" s="29" t="str">
        <f>IF(AC51="","",IF(AC51=1,N52,IF(AC54=1,N55,IF(AC57=1,N58,""))))</f>
        <v>M0008</v>
      </c>
      <c r="K52" s="29">
        <f>IF(AC51="","",IF(AC51=1,N53,IF(AC54=1,N56,IF(AC57=1,N59,""))))</f>
        <v>0</v>
      </c>
      <c r="L52" s="29"/>
      <c r="N52" s="30" t="s">
        <v>29</v>
      </c>
      <c r="O52" s="31">
        <f>IF(O50&gt;0,(O50&amp;1)*1,"")</f>
        <v>51</v>
      </c>
      <c r="Q52" s="257"/>
      <c r="R52" s="257"/>
      <c r="S52" s="258"/>
      <c r="T52" s="260"/>
      <c r="U52" s="271" t="str">
        <f>IF(AND(N52&lt;&gt;"",N53=""),CONCATENATE(VLOOKUP(N52,'[1]zawodnicy'!$A:$E,1,FALSE)," ",VLOOKUP(N52,'[1]zawodnicy'!$A:$E,2,FALSE)," ",VLOOKUP(N52,'[1]zawodnicy'!$A:$E,3,FALSE)," - ",VLOOKUP(N52,'[1]zawodnicy'!$A:$E,4,FALSE)),"")</f>
        <v>M0008 Tadeusz MICHALIK - Tarnów</v>
      </c>
      <c r="V52" s="272"/>
      <c r="W52" s="32"/>
      <c r="X52" s="33" t="str">
        <f>IF(SUM(AP56:AQ56)=0,"",AP56&amp;":"&amp;AQ56)</f>
        <v>21:2</v>
      </c>
      <c r="Y52" s="34" t="str">
        <f>IF(SUM(AP54:AQ54)=0,"",AP54&amp;":"&amp;AQ54)</f>
        <v>16:21</v>
      </c>
      <c r="Z52" s="260"/>
      <c r="AA52" s="265"/>
      <c r="AB52" s="265"/>
      <c r="AC52" s="268"/>
      <c r="AD52" s="2"/>
      <c r="AE52" s="22"/>
      <c r="AF52" s="22"/>
      <c r="AG52" s="28"/>
      <c r="BD52" s="12">
        <f>SUM(BD54:BD56)</f>
        <v>211</v>
      </c>
      <c r="BE52" s="12">
        <f>SUM(BE54:BE56)</f>
        <v>211</v>
      </c>
      <c r="BF52" s="12">
        <f>SUM(BF54:BF56)</f>
        <v>7</v>
      </c>
      <c r="BG52" s="12">
        <f>SUM(BG54:BG56)</f>
        <v>7</v>
      </c>
    </row>
    <row r="53" spans="10:63" ht="11.25" customHeight="1" thickBot="1">
      <c r="J53" s="29"/>
      <c r="K53" s="23"/>
      <c r="L53" s="23"/>
      <c r="N53" s="35"/>
      <c r="O53" s="23"/>
      <c r="P53" s="23"/>
      <c r="Q53" s="257"/>
      <c r="R53" s="257"/>
      <c r="S53" s="258"/>
      <c r="T53" s="261"/>
      <c r="U53" s="273">
        <f>IF(N53&lt;&gt;"",CONCATENATE(VLOOKUP(N53,'[1]zawodnicy'!$A:$E,1,FALSE)," ",VLOOKUP(N53,'[1]zawodnicy'!$A:$E,2,FALSE)," ",VLOOKUP(N53,'[1]zawodnicy'!$A:$E,3,FALSE)," - ",VLOOKUP(N53,'[1]zawodnicy'!$A:$E,4,FALSE)),"")</f>
      </c>
      <c r="V53" s="274"/>
      <c r="W53" s="32"/>
      <c r="X53" s="36">
        <f>IF(SUM(AR56:AS56)=0,"",AR56&amp;":"&amp;AS56)</f>
      </c>
      <c r="Y53" s="37" t="str">
        <f>IF(SUM(AR54:AS54)=0,"",AR54&amp;":"&amp;AS54)</f>
        <v>21:10</v>
      </c>
      <c r="Z53" s="261"/>
      <c r="AA53" s="266"/>
      <c r="AB53" s="266"/>
      <c r="AC53" s="269"/>
      <c r="AD53" s="2"/>
      <c r="AE53" s="22"/>
      <c r="AF53" s="22"/>
      <c r="AG53" s="28"/>
      <c r="AH53" s="275" t="s">
        <v>12</v>
      </c>
      <c r="AI53" s="276"/>
      <c r="AJ53" s="277" t="s">
        <v>13</v>
      </c>
      <c r="AK53" s="276"/>
      <c r="AL53" s="277" t="s">
        <v>14</v>
      </c>
      <c r="AM53" s="278"/>
      <c r="AN53" s="275" t="s">
        <v>12</v>
      </c>
      <c r="AO53" s="276"/>
      <c r="AP53" s="277" t="s">
        <v>13</v>
      </c>
      <c r="AQ53" s="276"/>
      <c r="AR53" s="277" t="s">
        <v>14</v>
      </c>
      <c r="AS53" s="276"/>
      <c r="AT53" s="22"/>
      <c r="AU53" s="22"/>
      <c r="AV53" s="275">
        <v>1</v>
      </c>
      <c r="AW53" s="276"/>
      <c r="AX53" s="277">
        <v>2</v>
      </c>
      <c r="AY53" s="276"/>
      <c r="AZ53" s="277">
        <v>3</v>
      </c>
      <c r="BA53" s="278"/>
      <c r="BD53" s="275" t="s">
        <v>3</v>
      </c>
      <c r="BE53" s="278"/>
      <c r="BF53" s="275" t="s">
        <v>4</v>
      </c>
      <c r="BG53" s="278"/>
      <c r="BH53" s="275" t="s">
        <v>5</v>
      </c>
      <c r="BI53" s="278"/>
      <c r="BJ53" s="38" t="s">
        <v>6</v>
      </c>
      <c r="BK53" s="13">
        <f>SUM(BK54:BK56)</f>
        <v>0</v>
      </c>
    </row>
    <row r="54" spans="1:63" ht="11.25" customHeight="1">
      <c r="A54" s="12">
        <f>S54</f>
        <v>5</v>
      </c>
      <c r="B54" s="2" t="str">
        <f>IF(N52="","",N52)</f>
        <v>M0008</v>
      </c>
      <c r="C54" s="2">
        <f>IF(N53="","",N53)</f>
      </c>
      <c r="D54" s="2" t="str">
        <f>IF(N58="","",N58)</f>
        <v>L0004</v>
      </c>
      <c r="E54" s="2">
        <f>IF(N59="","",N59)</f>
      </c>
      <c r="I54" s="2" t="str">
        <f>"2"&amp;O50&amp;N51</f>
        <v>25Runners Up</v>
      </c>
      <c r="J54" s="29" t="str">
        <f>IF(AC54="","",IF(AC51=2,N52,IF(AC54=2,N55,IF(AC57=2,N58,""))))</f>
        <v>L0004</v>
      </c>
      <c r="K54" s="29">
        <f>IF(AC54="","",IF(AC51=2,N53,IF(AC54=2,N56,IF(AC57=2,N59,""))))</f>
        <v>0</v>
      </c>
      <c r="M54" s="39" t="str">
        <f>N51</f>
        <v>Runners Up</v>
      </c>
      <c r="O54" s="23"/>
      <c r="P54" s="23"/>
      <c r="Q54" s="40">
        <f>IF(AT54&gt;0,"",IF(A54=0,"",IF(VLOOKUP(A54,'[1]plan gier'!A:S,19,FALSE)="","",VLOOKUP(A54,'[1]plan gier'!A:S,19,FALSE))))</f>
      </c>
      <c r="R54" s="41" t="s">
        <v>15</v>
      </c>
      <c r="S54" s="42">
        <v>5</v>
      </c>
      <c r="T54" s="279">
        <v>2</v>
      </c>
      <c r="U54" s="280">
        <f>IF(AND(N55&lt;&gt;"",N56&lt;&gt;""),CONCATENATE(VLOOKUP(N55,'[1]zawodnicy'!$A:$E,1,FALSE)," ",VLOOKUP(N55,'[1]zawodnicy'!$A:$E,2,FALSE)," ",VLOOKUP(N55,'[1]zawodnicy'!$A:$E,3,FALSE)," - ",VLOOKUP(N55,'[1]zawodnicy'!$A:$E,4,FALSE)),"")</f>
      </c>
      <c r="V54" s="281"/>
      <c r="W54" s="43" t="str">
        <f>IF(SUM(AN56:AO56)=0,"",AO56&amp;":"&amp;AN56)</f>
        <v>7:21</v>
      </c>
      <c r="X54" s="44"/>
      <c r="Y54" s="45" t="str">
        <f>IF(SUM(AN55:AO55)=0,"",AN55&amp;":"&amp;AO55)</f>
        <v>8:21</v>
      </c>
      <c r="Z54" s="279" t="str">
        <f>IF(SUM(AV55:AW55,AZ55:BA55)=0,"",BD55&amp;":"&amp;BE55)</f>
        <v>21:84</v>
      </c>
      <c r="AA54" s="282" t="str">
        <f>IF(SUM(AV55:AW55,AZ55:BA55)=0,"",BF55&amp;":"&amp;BG55)</f>
        <v>0:4</v>
      </c>
      <c r="AB54" s="282" t="str">
        <f>IF(SUM(AV55:AW55,AZ55:BA55)=0,"",BH55&amp;":"&amp;BI55)</f>
        <v>0:2</v>
      </c>
      <c r="AC54" s="283">
        <f>IF(SUM(BH54:BH56)&gt;0,BJ55,"")</f>
        <v>3</v>
      </c>
      <c r="AD54" s="2"/>
      <c r="AE54" s="22"/>
      <c r="AF54" s="22"/>
      <c r="AG54" s="41" t="s">
        <v>15</v>
      </c>
      <c r="AH54" s="46">
        <f>IF(ISBLANK(S54),"",VLOOKUP(S54,'[1]plan gier'!$X:$AN,12,FALSE))</f>
        <v>21</v>
      </c>
      <c r="AI54" s="47">
        <f>IF(ISBLANK(S54),"",VLOOKUP(S54,'[1]plan gier'!$X:$AN,13,FALSE))</f>
        <v>17</v>
      </c>
      <c r="AJ54" s="47">
        <f>IF(ISBLANK(S54),"",VLOOKUP(S54,'[1]plan gier'!$X:$AN,14,FALSE))</f>
        <v>16</v>
      </c>
      <c r="AK54" s="47">
        <f>IF(ISBLANK(S54),"",VLOOKUP(S54,'[1]plan gier'!$X:$AN,15,FALSE))</f>
        <v>21</v>
      </c>
      <c r="AL54" s="47">
        <f>IF(ISBLANK(S54),"",VLOOKUP(S54,'[1]plan gier'!$X:$AN,16,FALSE))</f>
        <v>21</v>
      </c>
      <c r="AM54" s="47">
        <f>IF(ISBLANK(S54),"",VLOOKUP(S54,'[1]plan gier'!$X:$AN,17,FALSE))</f>
        <v>10</v>
      </c>
      <c r="AN54" s="48">
        <f aca="true" t="shared" si="4" ref="AN54:AS56">IF(AH54="",0,AH54)</f>
        <v>21</v>
      </c>
      <c r="AO54" s="49">
        <f t="shared" si="4"/>
        <v>17</v>
      </c>
      <c r="AP54" s="50">
        <f t="shared" si="4"/>
        <v>16</v>
      </c>
      <c r="AQ54" s="49">
        <f t="shared" si="4"/>
        <v>21</v>
      </c>
      <c r="AR54" s="50">
        <f t="shared" si="4"/>
        <v>21</v>
      </c>
      <c r="AS54" s="49">
        <f t="shared" si="4"/>
        <v>10</v>
      </c>
      <c r="AT54" s="51">
        <f>SUM(AN54:AS54)</f>
        <v>106</v>
      </c>
      <c r="AU54" s="52">
        <v>1</v>
      </c>
      <c r="AV54" s="53"/>
      <c r="AW54" s="54"/>
      <c r="AX54" s="47">
        <f>IF(AH56&gt;AI56,1,0)+IF(AJ56&gt;AK56,1,0)+IF(AL56&gt;AM56,1,0)</f>
        <v>2</v>
      </c>
      <c r="AY54" s="47">
        <f>AV55</f>
        <v>0</v>
      </c>
      <c r="AZ54" s="47">
        <f>IF(AH54&gt;AI54,1,0)+IF(AJ54&gt;AK54,1,0)+IF(AL54&gt;AM54,1,0)</f>
        <v>2</v>
      </c>
      <c r="BA54" s="55">
        <f>AV56</f>
        <v>1</v>
      </c>
      <c r="BD54" s="46">
        <f>AN54+AP54+AR54+AN56+AP56+AR56</f>
        <v>100</v>
      </c>
      <c r="BE54" s="55">
        <f>AO54+AQ54+AS54+AO56+AQ56+AS56</f>
        <v>57</v>
      </c>
      <c r="BF54" s="46">
        <f>AX54+AZ54</f>
        <v>4</v>
      </c>
      <c r="BG54" s="55">
        <f>AY54+BA54</f>
        <v>1</v>
      </c>
      <c r="BH54" s="46">
        <f>IF(AX54&gt;AY54,1,0)+IF(AZ54&gt;BA54,1,0)</f>
        <v>2</v>
      </c>
      <c r="BI54" s="56">
        <f>IF(AY54&gt;AX54,1,0)+IF(BA54&gt;AZ54,1,0)</f>
        <v>0</v>
      </c>
      <c r="BJ54" s="57">
        <f>IF(BH54+BI54=0,"",IF(BK54=MAX(BK54:BK56),1,IF(BK54=MIN(BK54:BK56),3,2)))</f>
        <v>1</v>
      </c>
      <c r="BK54" s="13">
        <f>IF(BH54+BI54&lt;&gt;0,BH54-BI54+(BF54-BG54)/100+(BD54-BE54)/10000,-2)</f>
        <v>2.0343</v>
      </c>
    </row>
    <row r="55" spans="1:63" ht="11.25" customHeight="1">
      <c r="A55" s="12">
        <f>S55</f>
        <v>10</v>
      </c>
      <c r="B55" s="2" t="str">
        <f>IF(N55="","",N55)</f>
        <v>K0038</v>
      </c>
      <c r="C55" s="2">
        <f>IF(N56="","",N56)</f>
      </c>
      <c r="D55" s="2" t="str">
        <f>IF(N58="","",N58)</f>
        <v>L0004</v>
      </c>
      <c r="E55" s="2">
        <f>IF(N59="","",N59)</f>
      </c>
      <c r="J55" s="29"/>
      <c r="K55" s="12"/>
      <c r="M55" s="39" t="str">
        <f>N51</f>
        <v>Runners Up</v>
      </c>
      <c r="N55" s="30" t="s">
        <v>30</v>
      </c>
      <c r="O55" s="31">
        <f>IF(O50&gt;0,(O50&amp;2)*1,"")</f>
        <v>52</v>
      </c>
      <c r="Q55" s="40">
        <f>IF(AT55&gt;0,"",IF(A55=0,"",IF(VLOOKUP(A55,'[1]plan gier'!A:S,19,FALSE)="","",VLOOKUP(A55,'[1]plan gier'!A:S,19,FALSE))))</f>
      </c>
      <c r="R55" s="41" t="s">
        <v>17</v>
      </c>
      <c r="S55" s="42">
        <v>10</v>
      </c>
      <c r="T55" s="260"/>
      <c r="U55" s="271" t="str">
        <f>IF(AND(N55&lt;&gt;"",N56=""),CONCATENATE(VLOOKUP(N55,'[1]zawodnicy'!$A:$E,1,FALSE)," ",VLOOKUP(N55,'[1]zawodnicy'!$A:$E,2,FALSE)," ",VLOOKUP(N55,'[1]zawodnicy'!$A:$E,3,FALSE)," - ",VLOOKUP(N55,'[1]zawodnicy'!$A:$E,4,FALSE)),"")</f>
        <v>K0038 Wojciech KWOLEK - Mielec</v>
      </c>
      <c r="V55" s="272"/>
      <c r="W55" s="58" t="str">
        <f>IF(SUM(AP56:AQ56)=0,"",AQ56&amp;":"&amp;AP56)</f>
        <v>2:21</v>
      </c>
      <c r="X55" s="59"/>
      <c r="Y55" s="34" t="str">
        <f>IF(SUM(AP55:AQ55)=0,"",AP55&amp;":"&amp;AQ55)</f>
        <v>4:21</v>
      </c>
      <c r="Z55" s="260"/>
      <c r="AA55" s="265"/>
      <c r="AB55" s="265"/>
      <c r="AC55" s="268"/>
      <c r="AD55" s="2"/>
      <c r="AE55" s="22"/>
      <c r="AF55" s="22"/>
      <c r="AG55" s="41" t="s">
        <v>17</v>
      </c>
      <c r="AH55" s="60">
        <f>IF(ISBLANK(S55),"",VLOOKUP(S55,'[1]plan gier'!$X:$AN,12,FALSE))</f>
        <v>8</v>
      </c>
      <c r="AI55" s="61">
        <f>IF(ISBLANK(S55),"",VLOOKUP(S55,'[1]plan gier'!$X:$AN,13,FALSE))</f>
        <v>21</v>
      </c>
      <c r="AJ55" s="61">
        <f>IF(ISBLANK(S55),"",VLOOKUP(S55,'[1]plan gier'!$X:$AN,14,FALSE))</f>
        <v>4</v>
      </c>
      <c r="AK55" s="61">
        <f>IF(ISBLANK(S55),"",VLOOKUP(S55,'[1]plan gier'!$X:$AN,15,FALSE))</f>
        <v>21</v>
      </c>
      <c r="AL55" s="61">
        <f>IF(ISBLANK(S55),"",VLOOKUP(S55,'[1]plan gier'!$X:$AN,16,FALSE))</f>
        <v>0</v>
      </c>
      <c r="AM55" s="61">
        <f>IF(ISBLANK(S55),"",VLOOKUP(S55,'[1]plan gier'!$X:$AN,17,FALSE))</f>
        <v>0</v>
      </c>
      <c r="AN55" s="62">
        <f t="shared" si="4"/>
        <v>8</v>
      </c>
      <c r="AO55" s="61">
        <f t="shared" si="4"/>
        <v>21</v>
      </c>
      <c r="AP55" s="63">
        <f t="shared" si="4"/>
        <v>4</v>
      </c>
      <c r="AQ55" s="61">
        <f t="shared" si="4"/>
        <v>21</v>
      </c>
      <c r="AR55" s="63">
        <f t="shared" si="4"/>
        <v>0</v>
      </c>
      <c r="AS55" s="61">
        <f t="shared" si="4"/>
        <v>0</v>
      </c>
      <c r="AT55" s="51">
        <f>SUM(AN55:AS55)</f>
        <v>54</v>
      </c>
      <c r="AU55" s="52">
        <v>2</v>
      </c>
      <c r="AV55" s="60">
        <f>IF(AH56&lt;AI56,1,0)+IF(AJ56&lt;AK56,1,0)+IF(AL56&lt;AM56,1,0)</f>
        <v>0</v>
      </c>
      <c r="AW55" s="61">
        <f>AX54</f>
        <v>2</v>
      </c>
      <c r="AX55" s="64"/>
      <c r="AY55" s="65"/>
      <c r="AZ55" s="61">
        <f>IF(AH55&gt;AI55,1,0)+IF(AJ55&gt;AK55,1,0)+IF(AL55&gt;AM55,1,0)</f>
        <v>0</v>
      </c>
      <c r="BA55" s="66">
        <f>AX56</f>
        <v>2</v>
      </c>
      <c r="BD55" s="60">
        <f>AN55+AP55+AR55+AO56+AQ56+AS56</f>
        <v>21</v>
      </c>
      <c r="BE55" s="66">
        <f>AO55+AQ55+AS55+AN56+AP56+AR56</f>
        <v>84</v>
      </c>
      <c r="BF55" s="60">
        <f>AV55+AZ55</f>
        <v>0</v>
      </c>
      <c r="BG55" s="66">
        <f>AW55+BA55</f>
        <v>4</v>
      </c>
      <c r="BH55" s="60">
        <f>IF(AV55&gt;AW55,1,0)+IF(AZ55&gt;BA55,1,0)</f>
        <v>0</v>
      </c>
      <c r="BI55" s="67">
        <f>IF(AW55&gt;AV55,1,0)+IF(BA55&gt;AZ55,1,0)</f>
        <v>2</v>
      </c>
      <c r="BJ55" s="68">
        <f>IF(BH55+BI55=0,"",IF(BK55=MAX(BK54:BK56),1,IF(BK55=MIN(BK54:BK56),3,2)))</f>
        <v>3</v>
      </c>
      <c r="BK55" s="13">
        <f>IF(BH55+BI55&lt;&gt;0,BH55-BI55+(BF55-BG55)/100+(BD55-BE55)/10000,-2)</f>
        <v>-2.0463</v>
      </c>
    </row>
    <row r="56" spans="1:63" ht="11.25" customHeight="1" thickBot="1">
      <c r="A56" s="12">
        <f>S56</f>
        <v>15</v>
      </c>
      <c r="B56" s="2" t="str">
        <f>IF(N52="","",N52)</f>
        <v>M0008</v>
      </c>
      <c r="C56" s="2">
        <f>IF(N53="","",N53)</f>
      </c>
      <c r="D56" s="2" t="str">
        <f>IF(N55="","",N55)</f>
        <v>K0038</v>
      </c>
      <c r="E56" s="2">
        <f>IF(N56="","",N56)</f>
      </c>
      <c r="I56" s="2" t="str">
        <f>"3"&amp;O50&amp;N51</f>
        <v>35Runners Up</v>
      </c>
      <c r="J56" s="29" t="str">
        <f>IF(AC57="","",IF(AC51=3,N52,IF(AC54=3,N55,IF(AC57=3,N58,""))))</f>
        <v>K0038</v>
      </c>
      <c r="K56" s="29">
        <f>IF(AC57="","",IF(AC51=3,N53,IF(AC54=3,N56,IF(AC57=3,N59,""))))</f>
        <v>0</v>
      </c>
      <c r="M56" s="39" t="str">
        <f>N51</f>
        <v>Runners Up</v>
      </c>
      <c r="N56" s="35"/>
      <c r="O56" s="23"/>
      <c r="P56" s="23"/>
      <c r="Q56" s="40">
        <f>IF(AT56&gt;0,"",IF(A56=0,"",IF(VLOOKUP(A56,'[1]plan gier'!A:S,19,FALSE)="","",VLOOKUP(A56,'[1]plan gier'!A:S,19,FALSE))))</f>
      </c>
      <c r="R56" s="69" t="s">
        <v>18</v>
      </c>
      <c r="S56" s="42">
        <v>15</v>
      </c>
      <c r="T56" s="261"/>
      <c r="U56" s="273">
        <f>IF(N56&lt;&gt;"",CONCATENATE(VLOOKUP(N56,'[1]zawodnicy'!$A:$E,1,FALSE)," ",VLOOKUP(N56,'[1]zawodnicy'!$A:$E,2,FALSE)," ",VLOOKUP(N56,'[1]zawodnicy'!$A:$E,3,FALSE)," - ",VLOOKUP(N56,'[1]zawodnicy'!$A:$E,4,FALSE)),"")</f>
      </c>
      <c r="V56" s="274"/>
      <c r="W56" s="70">
        <f>IF(SUM(AR56:AS56)=0,"",AS56&amp;":"&amp;AR56)</f>
      </c>
      <c r="X56" s="59"/>
      <c r="Y56" s="37">
        <f>IF(SUM(AR55:AS55)=0,"",AR55&amp;":"&amp;AS55)</f>
      </c>
      <c r="Z56" s="261"/>
      <c r="AA56" s="266"/>
      <c r="AB56" s="266"/>
      <c r="AC56" s="269"/>
      <c r="AD56" s="2"/>
      <c r="AE56" s="22"/>
      <c r="AF56" s="22"/>
      <c r="AG56" s="69" t="s">
        <v>18</v>
      </c>
      <c r="AH56" s="71">
        <f>IF(ISBLANK(S56),"",VLOOKUP(S56,'[1]plan gier'!$X:$AN,12,FALSE))</f>
        <v>21</v>
      </c>
      <c r="AI56" s="72">
        <f>IF(ISBLANK(S56),"",VLOOKUP(S56,'[1]plan gier'!$X:$AN,13,FALSE))</f>
        <v>7</v>
      </c>
      <c r="AJ56" s="72">
        <f>IF(ISBLANK(S56),"",VLOOKUP(S56,'[1]plan gier'!$X:$AN,14,FALSE))</f>
        <v>21</v>
      </c>
      <c r="AK56" s="72">
        <f>IF(ISBLANK(S56),"",VLOOKUP(S56,'[1]plan gier'!$X:$AN,15,FALSE))</f>
        <v>2</v>
      </c>
      <c r="AL56" s="72">
        <f>IF(ISBLANK(S56),"",VLOOKUP(S56,'[1]plan gier'!$X:$AN,16,FALSE))</f>
        <v>0</v>
      </c>
      <c r="AM56" s="72">
        <f>IF(ISBLANK(S56),"",VLOOKUP(S56,'[1]plan gier'!$X:$AN,17,FALSE))</f>
        <v>0</v>
      </c>
      <c r="AN56" s="73">
        <f t="shared" si="4"/>
        <v>21</v>
      </c>
      <c r="AO56" s="72">
        <f t="shared" si="4"/>
        <v>7</v>
      </c>
      <c r="AP56" s="74">
        <f t="shared" si="4"/>
        <v>21</v>
      </c>
      <c r="AQ56" s="72">
        <f t="shared" si="4"/>
        <v>2</v>
      </c>
      <c r="AR56" s="74">
        <f t="shared" si="4"/>
        <v>0</v>
      </c>
      <c r="AS56" s="72">
        <f t="shared" si="4"/>
        <v>0</v>
      </c>
      <c r="AT56" s="51">
        <f>SUM(AN56:AS56)</f>
        <v>51</v>
      </c>
      <c r="AU56" s="52">
        <v>3</v>
      </c>
      <c r="AV56" s="71">
        <f>IF(AH54&lt;AI54,1,0)+IF(AJ54&lt;AK54,1,0)+IF(AL54&lt;AM54,1,0)</f>
        <v>1</v>
      </c>
      <c r="AW56" s="72">
        <f>AZ54</f>
        <v>2</v>
      </c>
      <c r="AX56" s="72">
        <f>IF(AH55&lt;AI55,1,0)+IF(AJ55&lt;AK55,1,0)+IF(AL55&lt;AM55,1,0)</f>
        <v>2</v>
      </c>
      <c r="AY56" s="72">
        <f>AZ55</f>
        <v>0</v>
      </c>
      <c r="AZ56" s="75"/>
      <c r="BA56" s="76"/>
      <c r="BD56" s="71">
        <f>AO54+AQ54+AS54+AO55+AQ55+AS55</f>
        <v>90</v>
      </c>
      <c r="BE56" s="77">
        <f>AN54+AP54+AR54+AN55+AP55+AR55</f>
        <v>70</v>
      </c>
      <c r="BF56" s="71">
        <f>AV56+AX56</f>
        <v>3</v>
      </c>
      <c r="BG56" s="77">
        <f>AW56+AY56</f>
        <v>2</v>
      </c>
      <c r="BH56" s="71">
        <f>IF(AV56&gt;AW56,1,0)+IF(AX56&gt;AY56,1,0)</f>
        <v>1</v>
      </c>
      <c r="BI56" s="78">
        <f>IF(AW56&gt;AV56,1,0)+IF(AY56&gt;AX56,1,0)</f>
        <v>1</v>
      </c>
      <c r="BJ56" s="79">
        <f>IF(BH56+BI56=0,"",IF(BK56=MAX(BK54:BK56),1,IF(BK56=MIN(BK54:BK56),3,2)))</f>
        <v>2</v>
      </c>
      <c r="BK56" s="13">
        <f>IF(BH56+BI56&lt;&gt;0,BH56-BI56+(BF56-BG56)/100+(BD56-BE56)/10000,-2)</f>
        <v>0.012</v>
      </c>
    </row>
    <row r="57" spans="1:59" ht="11.25" customHeight="1">
      <c r="A57" s="2"/>
      <c r="J57" s="23"/>
      <c r="K57" s="23"/>
      <c r="L57" s="23"/>
      <c r="O57" s="23"/>
      <c r="P57" s="23"/>
      <c r="Q57" s="2"/>
      <c r="R57" s="2"/>
      <c r="S57" s="2"/>
      <c r="T57" s="279">
        <v>3</v>
      </c>
      <c r="U57" s="280">
        <f>IF(AND(N58&lt;&gt;"",N59&lt;&gt;""),CONCATENATE(VLOOKUP(N58,'[1]zawodnicy'!$A:$E,1,FALSE)," ",VLOOKUP(N58,'[1]zawodnicy'!$A:$E,2,FALSE)," ",VLOOKUP(N58,'[1]zawodnicy'!$A:$E,3,FALSE)," - ",VLOOKUP(N58,'[1]zawodnicy'!$A:$E,4,FALSE)),"")</f>
      </c>
      <c r="V57" s="281"/>
      <c r="W57" s="43" t="str">
        <f>IF(SUM(AN54:AO54)=0,"",AO54&amp;":"&amp;AN54)</f>
        <v>17:21</v>
      </c>
      <c r="X57" s="80" t="str">
        <f>IF(SUM(AN55:AO55)=0,"",AO55&amp;":"&amp;AN55)</f>
        <v>21:8</v>
      </c>
      <c r="Y57" s="81"/>
      <c r="Z57" s="279" t="str">
        <f>IF(SUM(AV56:AY56)=0,"",BD56&amp;":"&amp;BE56)</f>
        <v>90:70</v>
      </c>
      <c r="AA57" s="282" t="str">
        <f>IF(SUM(AV56:AY56)=0,"",BF56&amp;":"&amp;BG56)</f>
        <v>3:2</v>
      </c>
      <c r="AB57" s="282" t="str">
        <f>IF(SUM(AV56:AY56)=0,"",BH56&amp;":"&amp;BI56)</f>
        <v>1:1</v>
      </c>
      <c r="AC57" s="283">
        <f>IF(SUM(BH54:BH56)&gt;0,BJ56,"")</f>
        <v>2</v>
      </c>
      <c r="AD57" s="2"/>
      <c r="AE57" s="22"/>
      <c r="AF57" s="22"/>
      <c r="BD57" s="12">
        <f>SUM(BD54:BD56)</f>
        <v>211</v>
      </c>
      <c r="BE57" s="12">
        <f>SUM(BE54:BE56)</f>
        <v>211</v>
      </c>
      <c r="BF57" s="12">
        <f>SUM(BF54:BF56)</f>
        <v>7</v>
      </c>
      <c r="BG57" s="12">
        <f>SUM(BG54:BG56)</f>
        <v>7</v>
      </c>
    </row>
    <row r="58" spans="1:63" ht="11.25" customHeight="1">
      <c r="A58" s="12"/>
      <c r="J58" s="12"/>
      <c r="K58" s="12"/>
      <c r="L58" s="12"/>
      <c r="N58" s="30" t="s">
        <v>31</v>
      </c>
      <c r="O58" s="31">
        <f>IF(O50&gt;0,(O50&amp;3)*1,"")</f>
        <v>53</v>
      </c>
      <c r="Q58" s="82"/>
      <c r="R58" s="82"/>
      <c r="S58" s="42"/>
      <c r="T58" s="260"/>
      <c r="U58" s="271" t="str">
        <f>IF(AND(N58&lt;&gt;"",N59=""),CONCATENATE(VLOOKUP(N58,'[1]zawodnicy'!$A:$E,1,FALSE)," ",VLOOKUP(N58,'[1]zawodnicy'!$A:$E,2,FALSE)," ",VLOOKUP(N58,'[1]zawodnicy'!$A:$E,3,FALSE)," - ",VLOOKUP(N58,'[1]zawodnicy'!$A:$E,4,FALSE)),"")</f>
        <v>L0004 Rafał LEJKO - Nowa Dęba</v>
      </c>
      <c r="V58" s="272"/>
      <c r="W58" s="58" t="str">
        <f>IF(SUM(AP54:AQ54)=0,"",AQ54&amp;":"&amp;AP54)</f>
        <v>21:16</v>
      </c>
      <c r="X58" s="33" t="str">
        <f>IF(SUM(AP55:AQ55)=0,"",AQ55&amp;":"&amp;AP55)</f>
        <v>21:4</v>
      </c>
      <c r="Y58" s="83"/>
      <c r="Z58" s="260"/>
      <c r="AA58" s="265"/>
      <c r="AB58" s="265"/>
      <c r="AC58" s="268"/>
      <c r="AD58" s="2"/>
      <c r="AE58" s="22"/>
      <c r="AF58" s="2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1.25" customHeight="1" thickBot="1">
      <c r="A59" s="2"/>
      <c r="J59" s="23"/>
      <c r="K59" s="23"/>
      <c r="L59" s="23"/>
      <c r="N59" s="35"/>
      <c r="O59" s="23"/>
      <c r="P59" s="23"/>
      <c r="Q59" s="2"/>
      <c r="R59" s="2"/>
      <c r="S59" s="2"/>
      <c r="T59" s="284"/>
      <c r="U59" s="287">
        <f>IF(N59&lt;&gt;"",CONCATENATE(VLOOKUP(N59,'[1]zawodnicy'!$A:$E,1,FALSE)," ",VLOOKUP(N59,'[1]zawodnicy'!$A:$E,2,FALSE)," ",VLOOKUP(N59,'[1]zawodnicy'!$A:$E,3,FALSE)," - ",VLOOKUP(N59,'[1]zawodnicy'!$A:$E,4,FALSE)),"")</f>
      </c>
      <c r="V59" s="288"/>
      <c r="W59" s="84" t="str">
        <f>IF(SUM(AR54:AS54)=0,"",AS54&amp;":"&amp;AR54)</f>
        <v>10:21</v>
      </c>
      <c r="X59" s="85">
        <f>IF(SUM(AR55:AS55)=0,"",AS55&amp;":"&amp;AR55)</f>
      </c>
      <c r="Y59" s="86"/>
      <c r="Z59" s="284"/>
      <c r="AA59" s="285"/>
      <c r="AB59" s="285"/>
      <c r="AC59" s="286"/>
      <c r="AD59" s="29"/>
      <c r="AE59" s="22"/>
      <c r="AF59" s="2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ht="11.25" customHeight="1"/>
    <row r="61" ht="11.25" customHeight="1"/>
    <row r="62" ht="11.25" customHeight="1"/>
    <row r="63" spans="10:32" ht="11.25" customHeight="1">
      <c r="J63" s="2"/>
      <c r="N63" s="88" t="s">
        <v>0</v>
      </c>
      <c r="P63" s="89"/>
      <c r="Q63" s="1"/>
      <c r="R63" s="1"/>
      <c r="S63" s="1"/>
      <c r="T63" s="90"/>
      <c r="U63" s="91"/>
      <c r="V63" s="91"/>
      <c r="W63" s="91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1.25" customHeight="1">
      <c r="A64" s="92">
        <f>V64</f>
        <v>0</v>
      </c>
      <c r="B64" s="2" t="str">
        <f>IF(TYPE(S64)=16,"",S64)</f>
        <v>N0002</v>
      </c>
      <c r="F64" s="2" t="str">
        <f>IF(A64=0,IF(AND(LEN(B64)&gt;0,LEN(D64)=0),VLOOKUP(B64,'[1]zawodnicy'!$A:$E,1,FALSE),IF(AND(LEN(D64)&gt;0,LEN(B64)=0),VLOOKUP(D64,'[1]zawodnicy'!$A:$E,1,FALSE),"")),IF((VLOOKUP(A64,'[1]plan gier'!$X:$AF,7,FALSE))="","",VLOOKUP(VLOOKUP(A64,'[1]plan gier'!$X:$AF,7,FALSE),'[1]zawodnicy'!$A:$E,1,FALSE)))</f>
        <v>N0002</v>
      </c>
      <c r="H64" s="2">
        <f>IF(A64=0,"",IF((VLOOKUP(A64,'[1]plan gier'!$X:$AF,7,FALSE))="","",VLOOKUP(A64,'[1]plan gier'!$X:$AF,9,FALSE)))</f>
      </c>
      <c r="J64" s="93"/>
      <c r="L64" s="40">
        <f>IF(A64=0,"",IF(VLOOKUP(A64,'[1]plan gier'!A:S,19,FALSE)="","",VLOOKUP(A64,'[1]plan gier'!A:S,19,FALSE)))</f>
      </c>
      <c r="M64" s="2" t="str">
        <f>N63</f>
        <v>Runners Up</v>
      </c>
      <c r="N64" s="94"/>
      <c r="O64" s="95"/>
      <c r="P64" s="94"/>
      <c r="Q64" s="289" t="s">
        <v>32</v>
      </c>
      <c r="R64" s="290"/>
      <c r="S64" s="291" t="str">
        <f>UPPER(IF((N63=""),"",IF(TYPE(VLOOKUP(1&amp;1&amp;N63,I:J,2,FALSE))=2,VLOOKUP(1&amp;1&amp;N63,I:J,2,FALSE),"")))</f>
        <v>N0002</v>
      </c>
      <c r="T64" s="292"/>
      <c r="U64" s="292" t="str">
        <f>IF(S64&lt;&gt;"",CONCATENATE(VLOOKUP(S64,'[1]zawodnicy'!$A:$E,2,FALSE)," ",VLOOKUP(S64,'[1]zawodnicy'!$A:$E,3,FALSE)," - ",VLOOKUP(S64,'[1]zawodnicy'!$A:$E,4,FALSE)),"")</f>
        <v>Robert NOWAK - Mielec</v>
      </c>
      <c r="V64" s="295"/>
      <c r="W64" s="297" t="str">
        <f>IF(LEN(S64)&gt;0,VLOOKUP(S64,'[1]zawodnicy'!$A:$E,3,FALSE),"")</f>
        <v>NOWAK</v>
      </c>
      <c r="X64" s="298"/>
      <c r="Y64" s="298"/>
      <c r="Z64" s="2"/>
      <c r="AA64" s="2"/>
      <c r="AB64" s="2"/>
      <c r="AC64" s="2"/>
      <c r="AD64" s="2"/>
      <c r="AE64" s="2"/>
      <c r="AF64" s="2"/>
    </row>
    <row r="65" spans="10:32" ht="11.25" customHeight="1">
      <c r="J65" s="93"/>
      <c r="N65" s="94"/>
      <c r="O65" s="95"/>
      <c r="P65" s="94"/>
      <c r="Q65" s="289"/>
      <c r="R65" s="290"/>
      <c r="S65" s="293"/>
      <c r="T65" s="294"/>
      <c r="U65" s="294"/>
      <c r="V65" s="296"/>
      <c r="W65" s="299"/>
      <c r="X65" s="300"/>
      <c r="Y65" s="301"/>
      <c r="Z65" s="2"/>
      <c r="AA65" s="2"/>
      <c r="AB65" s="2"/>
      <c r="AC65" s="2"/>
      <c r="AD65" s="2"/>
      <c r="AE65" s="2"/>
      <c r="AF65" s="2"/>
    </row>
    <row r="66" spans="1:32" ht="11.25" customHeight="1">
      <c r="A66" s="98">
        <f>Y66</f>
        <v>18</v>
      </c>
      <c r="B66" s="2" t="str">
        <f>F64</f>
        <v>N0002</v>
      </c>
      <c r="D66" s="2" t="str">
        <f>F68</f>
        <v>M0026</v>
      </c>
      <c r="F66" s="2" t="str">
        <f>IF(A66=0,IF(AND(LEN(B66)&gt;0,LEN(D66)=0),B66,IF(AND(LEN(D66)&gt;0,LEN(B66)=0),D66,"")),IF((VLOOKUP(A66,'[1]plan gier'!$X:$AF,7,FALSE))="","",VLOOKUP(VLOOKUP(A66,'[1]plan gier'!$X:$AF,7,FALSE),'[1]zawodnicy'!$A:$E,1,FALSE)))</f>
        <v>N0002</v>
      </c>
      <c r="H66" s="2" t="str">
        <f>IF(A66=0,"",IF((VLOOKUP(A66,'[1]plan gier'!$X:$AF,7,FALSE))="","",VLOOKUP(A66,'[1]plan gier'!$X:$AF,9,FALSE)))</f>
        <v>21:14</v>
      </c>
      <c r="J66" s="93"/>
      <c r="L66" s="40" t="str">
        <f>IF(A66=0,"",IF(VLOOKUP(A66,'[1]plan gier'!A:S,19,FALSE)="","",VLOOKUP(A66,'[1]plan gier'!A:S,19,FALSE)))</f>
        <v>godz.10:20</v>
      </c>
      <c r="M66" s="2" t="str">
        <f>N63</f>
        <v>Runners Up</v>
      </c>
      <c r="N66" s="94"/>
      <c r="O66" s="95"/>
      <c r="P66" s="94"/>
      <c r="S66" s="99"/>
      <c r="T66" s="100"/>
      <c r="U66" s="2"/>
      <c r="V66" s="2"/>
      <c r="W66" s="101"/>
      <c r="X66" s="29"/>
      <c r="Y66" s="102">
        <v>18</v>
      </c>
      <c r="Z66" s="298" t="str">
        <f>IF(ISBLANK(Y66),IF(AND(LEN(W64)&gt;0,LEN(W68)=0),W64,IF(AND(LEN(W68)&gt;0,LEN(W64)=0),W68,"")),IF((VLOOKUP(Y66,'[1]plan gier'!$X:$AF,7,FALSE))="","",VLOOKUP(VLOOKUP(Y66,'[1]plan gier'!$X:$AF,7,FALSE),'[1]zawodnicy'!$A:$E,3,FALSE)))</f>
        <v>NOWAK</v>
      </c>
      <c r="AA66" s="298"/>
      <c r="AB66" s="298"/>
      <c r="AC66" s="2"/>
      <c r="AD66" s="2"/>
      <c r="AE66" s="2"/>
      <c r="AF66" s="2"/>
    </row>
    <row r="67" spans="10:63" ht="11.25" customHeight="1">
      <c r="J67" s="93"/>
      <c r="N67" s="94"/>
      <c r="O67" s="95"/>
      <c r="P67" s="94"/>
      <c r="S67" s="99"/>
      <c r="T67" s="100"/>
      <c r="U67" s="2"/>
      <c r="V67" s="2"/>
      <c r="W67" s="101"/>
      <c r="X67" s="29"/>
      <c r="Y67" s="103"/>
      <c r="Z67" s="300" t="str">
        <f>IF(ISBLANK(Y66),"",IF((VLOOKUP(Y66,'[1]plan gier'!$X:$AF,7,FALSE))="",L66,VLOOKUP(Y66,'[1]plan gier'!$X:$AF,9,FALSE)))</f>
        <v>21:14</v>
      </c>
      <c r="AA67" s="300"/>
      <c r="AB67" s="301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1:63" ht="11.25" customHeight="1">
      <c r="A68" s="92">
        <f>V68</f>
        <v>0</v>
      </c>
      <c r="B68" s="2" t="str">
        <f>IF(TYPE(S68)=16,"",S68)</f>
        <v>M0026</v>
      </c>
      <c r="F68" s="2" t="str">
        <f>IF(A68=0,IF(AND(LEN(B68)&gt;0,LEN(D68)=0),VLOOKUP(B68,'[1]zawodnicy'!$A:$E,1,FALSE),IF(AND(LEN(D68)&gt;0,LEN(B68)=0),VLOOKUP(D68,'[1]zawodnicy'!$A:$E,1,FALSE),"")),IF((VLOOKUP(A68,'[1]plan gier'!$X:$AF,7,FALSE))="","",VLOOKUP(VLOOKUP(A68,'[1]plan gier'!$X:$AF,7,FALSE),'[1]zawodnicy'!$A:$E,1,FALSE)))</f>
        <v>M0026</v>
      </c>
      <c r="H68" s="2">
        <f>IF(A68=0,"",IF((VLOOKUP(A68,'[1]plan gier'!$X:$AF,7,FALSE))="","",VLOOKUP(A68,'[1]plan gier'!$X:$AF,9,FALSE)))</f>
      </c>
      <c r="J68" s="93"/>
      <c r="L68" s="40">
        <f>IF(A68=0,"",IF(VLOOKUP(A68,'[1]plan gier'!A:S,19,FALSE)="","",VLOOKUP(A68,'[1]plan gier'!A:S,19,FALSE)))</f>
      </c>
      <c r="M68" s="2" t="str">
        <f>N63</f>
        <v>Runners Up</v>
      </c>
      <c r="N68" s="94"/>
      <c r="O68" s="95"/>
      <c r="P68" s="94"/>
      <c r="Q68" s="289" t="s">
        <v>33</v>
      </c>
      <c r="R68" s="290"/>
      <c r="S68" s="291" t="str">
        <f>UPPER(IF(N63="","",IF(TYPE(VLOOKUP(1&amp;3&amp;N63,I:J,2,FALSE))=2,VLOOKUP(1&amp;3&amp;N63,I:J,2,FALSE),"")))</f>
        <v>M0026</v>
      </c>
      <c r="T68" s="292"/>
      <c r="U68" s="292" t="str">
        <f>IF(S68&lt;&gt;"",CONCATENATE(VLOOKUP(S68,'[1]zawodnicy'!$A:$E,2,FALSE)," ",VLOOKUP(S68,'[1]zawodnicy'!$A:$E,3,FALSE)," - ",VLOOKUP(S68,'[1]zawodnicy'!$A:$E,4,FALSE)),"")</f>
        <v>Wojciech MACHAJ - Mielec</v>
      </c>
      <c r="V68" s="295"/>
      <c r="W68" s="297" t="str">
        <f>IF(ISBLANK(V68),IF(AND(LEN(S68)&gt;0,LEN(S69)=0),VLOOKUP(S68,'[1]zawodnicy'!$A:$E,3,FALSE),IF(AND(LEN(S69)&gt;0,LEN(S68)=0),VLOOKUP(S69,'[1]zawodnicy'!$A:$E,3,FALSE),"")),IF((VLOOKUP(V68,'[1]plan gier'!$X:$AF,7,FALSE))="","",VLOOKUP(VLOOKUP(V68,'[1]plan gier'!$X:$AF,7,FALSE),'[1]zawodnicy'!$A:$E,3,FALSE)))</f>
        <v>MACHAJ</v>
      </c>
      <c r="X68" s="298"/>
      <c r="Y68" s="302"/>
      <c r="Z68" s="29"/>
      <c r="AA68" s="29"/>
      <c r="AB68" s="104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10:63" ht="11.25" customHeight="1">
      <c r="J69" s="93"/>
      <c r="N69" s="94"/>
      <c r="O69" s="95"/>
      <c r="P69" s="94"/>
      <c r="Q69" s="289"/>
      <c r="R69" s="290"/>
      <c r="S69" s="293"/>
      <c r="T69" s="294"/>
      <c r="U69" s="294"/>
      <c r="V69" s="296"/>
      <c r="W69" s="303"/>
      <c r="X69" s="304"/>
      <c r="Y69" s="304"/>
      <c r="Z69" s="29"/>
      <c r="AA69" s="29"/>
      <c r="AB69" s="104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ht="11.25" customHeight="1">
      <c r="A70" s="106">
        <f>AB70</f>
        <v>22</v>
      </c>
      <c r="B70" s="2" t="str">
        <f>F66</f>
        <v>N0002</v>
      </c>
      <c r="D70" s="2" t="str">
        <f>F74</f>
        <v>K0014</v>
      </c>
      <c r="F70" s="2" t="str">
        <f>IF(A70=0,IF(AND(LEN(B70)&gt;0,LEN(D70)=0),B70,IF(AND(LEN(D70)&gt;0,LEN(B70)=0),D70,"")),IF((VLOOKUP(A70,'[1]plan gier'!$X:$AF,7,FALSE))="","",VLOOKUP(VLOOKUP(A70,'[1]plan gier'!$X:$AF,7,FALSE),'[1]zawodnicy'!$A:$E,1,FALSE)))</f>
        <v>K0014</v>
      </c>
      <c r="H70" s="2" t="str">
        <f>IF(A70=0,"",IF((VLOOKUP(A70,'[1]plan gier'!$X:$AF,7,FALSE))="","",VLOOKUP(A70,'[1]plan gier'!$X:$AF,9,FALSE)))</f>
        <v>21:19,11:21,21:19</v>
      </c>
      <c r="J70" s="93"/>
      <c r="L70" s="40" t="str">
        <f>IF(A70=0,"",IF(VLOOKUP(A70,'[1]plan gier'!A:S,19,FALSE)="","",VLOOKUP(A70,'[1]plan gier'!A:S,19,FALSE)))</f>
        <v>godz.10:40</v>
      </c>
      <c r="M70" s="2" t="str">
        <f>N63</f>
        <v>Runners Up</v>
      </c>
      <c r="N70" s="94"/>
      <c r="O70" s="95"/>
      <c r="P70" s="94"/>
      <c r="S70" s="99"/>
      <c r="T70" s="100"/>
      <c r="U70" s="101"/>
      <c r="V70" s="2"/>
      <c r="W70" s="29"/>
      <c r="X70" s="2"/>
      <c r="Y70" s="2"/>
      <c r="Z70" s="29"/>
      <c r="AA70" s="29"/>
      <c r="AB70" s="102">
        <v>22</v>
      </c>
      <c r="AC70" s="298" t="str">
        <f>IF(ISBLANK(AB70),IF(AND(LEN(Z66)&gt;0,LEN(Z74)=0),Z66,IF(AND(LEN(Z74)&gt;0,LEN(Z66)=0),Z74,"")),IF((VLOOKUP(AB70,'[1]plan gier'!$X:$AF,7,FALSE))="","",VLOOKUP(VLOOKUP(AB70,'[1]plan gier'!$X:$AF,7,FALSE),'[1]zawodnicy'!$A:$E,3,FALSE)))</f>
        <v>KULA </v>
      </c>
      <c r="AD70" s="298"/>
      <c r="AE70" s="298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0:63" ht="11.25" customHeight="1">
      <c r="J71" s="93"/>
      <c r="N71" s="94"/>
      <c r="O71" s="95"/>
      <c r="P71" s="94"/>
      <c r="S71" s="99"/>
      <c r="T71" s="100"/>
      <c r="U71" s="101"/>
      <c r="V71" s="2"/>
      <c r="W71" s="29"/>
      <c r="X71" s="2"/>
      <c r="Y71" s="2"/>
      <c r="Z71" s="29"/>
      <c r="AA71" s="29"/>
      <c r="AB71" s="103"/>
      <c r="AC71" s="300" t="str">
        <f>IF(ISBLANK(AB70),"",IF((VLOOKUP(AB70,'[1]plan gier'!$X:$AF,7,FALSE))="",L70,VLOOKUP(AB70,'[1]plan gier'!$X:$AF,9,FALSE)))</f>
        <v>21:19,11:21,21:19</v>
      </c>
      <c r="AD71" s="300"/>
      <c r="AE71" s="301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1.25" customHeight="1">
      <c r="A72" s="92">
        <f>V72</f>
        <v>0</v>
      </c>
      <c r="B72" s="2" t="str">
        <f>IF(TYPE(S72)=16,"",S72)</f>
        <v>K0014</v>
      </c>
      <c r="F72" s="2" t="str">
        <f>IF(A72=0,IF(AND(LEN(B72)&gt;0,LEN(D72)=0),VLOOKUP(B72,'[1]zawodnicy'!$A:$E,1,FALSE),IF(AND(LEN(D72)&gt;0,LEN(B72)=0),VLOOKUP(D72,'[1]zawodnicy'!$A:$E,1,FALSE),"")),IF((VLOOKUP(A72,'[1]plan gier'!$X:$AF,7,FALSE))="","",VLOOKUP(VLOOKUP(A72,'[1]plan gier'!$X:$AF,7,FALSE),'[1]zawodnicy'!$A:$E,1,FALSE)))</f>
        <v>K0014</v>
      </c>
      <c r="H72" s="2">
        <f>IF(A72=0,"",IF((VLOOKUP(A72,'[1]plan gier'!$X:$AF,7,FALSE))="","",VLOOKUP(A72,'[1]plan gier'!$X:$AF,9,FALSE)))</f>
      </c>
      <c r="J72" s="93"/>
      <c r="L72" s="40">
        <f>IF(A72=0,"",IF(VLOOKUP(A72,'[1]plan gier'!A:S,19,FALSE)="","",VLOOKUP(A72,'[1]plan gier'!A:S,19,FALSE)))</f>
      </c>
      <c r="M72" s="2" t="str">
        <f>N63</f>
        <v>Runners Up</v>
      </c>
      <c r="N72" s="94"/>
      <c r="O72" s="95"/>
      <c r="P72" s="94"/>
      <c r="Q72" s="289" t="s">
        <v>34</v>
      </c>
      <c r="R72" s="290"/>
      <c r="S72" s="291" t="str">
        <f>UPPER(IF(N63="","",IF(TYPE(VLOOKUP(1&amp;2&amp;N63,I:J,2,FALSE))=2,VLOOKUP(1&amp;2&amp;N63,I:J,2,FALSE),"")))</f>
        <v>K0014</v>
      </c>
      <c r="T72" s="292"/>
      <c r="U72" s="292" t="str">
        <f>IF(S72&lt;&gt;"",CONCATENATE(VLOOKUP(S72,'[1]zawodnicy'!$A:$E,2,FALSE)," ",VLOOKUP(S72,'[1]zawodnicy'!$A:$E,3,FALSE)," - ",VLOOKUP(S72,'[1]zawodnicy'!$A:$E,4,FALSE)),"")</f>
        <v>Zdzisław KULA  - Tarnów</v>
      </c>
      <c r="V72" s="295"/>
      <c r="W72" s="297" t="str">
        <f>IF(ISBLANK(V72),IF(AND(LEN(S72)&gt;0,LEN(S73)=0),VLOOKUP(S72,'[1]zawodnicy'!$A:$E,3,FALSE),IF(AND(LEN(S73)&gt;0,LEN(S72)=0),VLOOKUP(S73,'[1]zawodnicy'!$A:$E,3,FALSE),"")),IF((VLOOKUP(V72,'[1]plan gier'!$X:$AF,7,FALSE))="","",VLOOKUP(VLOOKUP(V72,'[1]plan gier'!$X:$AF,7,FALSE),'[1]zawodnicy'!$A:$E,3,FALSE)))</f>
        <v>KULA </v>
      </c>
      <c r="X72" s="298"/>
      <c r="Y72" s="298"/>
      <c r="Z72" s="29"/>
      <c r="AA72" s="29"/>
      <c r="AB72" s="104"/>
      <c r="AC72" s="29"/>
      <c r="AD72" s="29"/>
      <c r="AE72" s="104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0:63" ht="11.25" customHeight="1">
      <c r="J73" s="93"/>
      <c r="N73" s="94"/>
      <c r="O73" s="95"/>
      <c r="P73" s="94"/>
      <c r="Q73" s="289"/>
      <c r="R73" s="290"/>
      <c r="S73" s="293"/>
      <c r="T73" s="294"/>
      <c r="U73" s="294"/>
      <c r="V73" s="296"/>
      <c r="W73" s="299"/>
      <c r="X73" s="300"/>
      <c r="Y73" s="301"/>
      <c r="Z73" s="29"/>
      <c r="AA73" s="29"/>
      <c r="AB73" s="104"/>
      <c r="AC73" s="29"/>
      <c r="AD73" s="29"/>
      <c r="AE73" s="104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11.25" customHeight="1">
      <c r="A74" s="98">
        <f>Y74</f>
        <v>19</v>
      </c>
      <c r="B74" s="2" t="str">
        <f>F72</f>
        <v>K0014</v>
      </c>
      <c r="D74" s="2" t="str">
        <f>F76</f>
        <v>L0004</v>
      </c>
      <c r="F74" s="2" t="str">
        <f>IF(A74=0,IF(AND(LEN(B74)&gt;0,LEN(D74)=0),B74,IF(AND(LEN(D74)&gt;0,LEN(B74)=0),D74,"")),IF((VLOOKUP(A74,'[1]plan gier'!$X:$AF,7,FALSE))="","",VLOOKUP(VLOOKUP(A74,'[1]plan gier'!$X:$AF,7,FALSE),'[1]zawodnicy'!$A:$E,1,FALSE)))</f>
        <v>K0014</v>
      </c>
      <c r="H74" s="2" t="str">
        <f>IF(A74=0,"",IF((VLOOKUP(A74,'[1]plan gier'!$X:$AF,7,FALSE))="","",VLOOKUP(A74,'[1]plan gier'!$X:$AF,9,FALSE)))</f>
        <v>21:14,21:18</v>
      </c>
      <c r="J74" s="93"/>
      <c r="L74" s="40" t="str">
        <f>IF(A74=0,"",IF(VLOOKUP(A74,'[1]plan gier'!A:S,19,FALSE)="","",VLOOKUP(A74,'[1]plan gier'!A:S,19,FALSE)))</f>
        <v>godz.10:20</v>
      </c>
      <c r="M74" s="2" t="str">
        <f>N63</f>
        <v>Runners Up</v>
      </c>
      <c r="N74" s="94"/>
      <c r="O74" s="95"/>
      <c r="P74" s="94"/>
      <c r="S74" s="99"/>
      <c r="T74" s="100"/>
      <c r="U74" s="2"/>
      <c r="V74" s="2"/>
      <c r="W74" s="101"/>
      <c r="X74" s="29"/>
      <c r="Y74" s="102">
        <v>19</v>
      </c>
      <c r="Z74" s="298" t="str">
        <f>IF(ISBLANK(Y74),IF(AND(LEN(W72)&gt;0,LEN(W76)=0),W72,IF(AND(LEN(W76)&gt;0,LEN(W72)=0),W76,"")),IF((VLOOKUP(Y74,'[1]plan gier'!$X:$AF,7,FALSE))="","",VLOOKUP(VLOOKUP(Y74,'[1]plan gier'!$X:$AF,7,FALSE),'[1]zawodnicy'!$A:$E,3,FALSE)))</f>
        <v>KULA </v>
      </c>
      <c r="AA74" s="298"/>
      <c r="AB74" s="302"/>
      <c r="AC74" s="29"/>
      <c r="AD74" s="29"/>
      <c r="AE74" s="104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0:63" ht="11.25" customHeight="1">
      <c r="J75" s="93"/>
      <c r="N75" s="94"/>
      <c r="O75" s="95"/>
      <c r="P75" s="94"/>
      <c r="S75" s="99"/>
      <c r="T75" s="100"/>
      <c r="U75" s="2"/>
      <c r="V75" s="2"/>
      <c r="W75" s="101"/>
      <c r="X75" s="29"/>
      <c r="Y75" s="103"/>
      <c r="Z75" s="304" t="str">
        <f>IF(ISBLANK(Y74),"",IF((VLOOKUP(Y74,'[1]plan gier'!$X:$AF,7,FALSE))="",L74,VLOOKUP(Y74,'[1]plan gier'!$X:$AF,9,FALSE)))</f>
        <v>21:14,21:18</v>
      </c>
      <c r="AA75" s="304"/>
      <c r="AB75" s="304"/>
      <c r="AC75" s="29"/>
      <c r="AD75" s="29"/>
      <c r="AE75" s="104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ht="11.25" customHeight="1">
      <c r="A76" s="92">
        <f>V76</f>
        <v>16</v>
      </c>
      <c r="B76" s="2" t="str">
        <f>IF(TYPE(S76)=16,"",S76)</f>
        <v>L0004</v>
      </c>
      <c r="D76" s="2" t="str">
        <f>IF(TYPE(S77)=16,"",S77)</f>
        <v>G0013</v>
      </c>
      <c r="F76" s="2" t="str">
        <f>IF(A76=0,IF(AND(LEN(B76)&gt;0,LEN(D76)=0),VLOOKUP(B76,'[1]zawodnicy'!$A:$E,1,FALSE),IF(AND(LEN(D76)&gt;0,LEN(B76)=0),VLOOKUP(D76,'[1]zawodnicy'!$A:$E,1,FALSE),"")),IF((VLOOKUP(A76,'[1]plan gier'!$X:$AF,7,FALSE))="","",VLOOKUP(VLOOKUP(A76,'[1]plan gier'!$X:$AF,7,FALSE),'[1]zawodnicy'!$A:$E,1,FALSE)))</f>
        <v>L0004</v>
      </c>
      <c r="H76" s="2" t="str">
        <f>IF(A76=0,"",IF((VLOOKUP(A76,'[1]plan gier'!$X:$AF,7,FALSE))="","",VLOOKUP(A76,'[1]plan gier'!$X:$AF,9,FALSE)))</f>
        <v>21:6,21:4</v>
      </c>
      <c r="J76" s="93"/>
      <c r="L76" s="40" t="str">
        <f>IF(A76=0,"",IF(VLOOKUP(A76,'[1]plan gier'!A:S,19,FALSE)="","",VLOOKUP(A76,'[1]plan gier'!A:S,19,FALSE)))</f>
        <v>godz.10:00</v>
      </c>
      <c r="M76" s="2" t="str">
        <f>N63</f>
        <v>Runners Up</v>
      </c>
      <c r="N76" s="94"/>
      <c r="O76" s="95"/>
      <c r="P76" s="94"/>
      <c r="Q76" s="87" t="s">
        <v>35</v>
      </c>
      <c r="S76" s="305" t="str">
        <f>UPPER(IF(N63="","",IF(TYPE(VLOOKUP(2&amp;5&amp;N63,I:J,2,FALSE))=2,VLOOKUP(2&amp;5&amp;N63,I:J,2,FALSE),"")))</f>
        <v>L0004</v>
      </c>
      <c r="T76" s="306"/>
      <c r="U76" s="107" t="str">
        <f>IF(S76&lt;&gt;"",CONCATENATE(VLOOKUP(S76,'[1]zawodnicy'!$A:$E,2,FALSE)," ",VLOOKUP(S76,'[1]zawodnicy'!$A:$E,3,FALSE)," - ",VLOOKUP(S76,'[1]zawodnicy'!$A:$E,4,FALSE)),"")</f>
        <v>Rafał LEJKO - Nowa Dęba</v>
      </c>
      <c r="V76" s="108">
        <v>16</v>
      </c>
      <c r="W76" s="297" t="str">
        <f>IF(ISBLANK(V76),IF(AND(LEN(S76)&gt;0,LEN(S77)=0),VLOOKUP(S76,'[1]zawodnicy'!$A:$E,3,FALSE),IF(AND(LEN(S77)&gt;0,LEN(S76)=0),VLOOKUP(S77,'[1]zawodnicy'!$A:$E,3,FALSE),"")),IF((VLOOKUP(V76,'[1]plan gier'!$X:$AF,7,FALSE))="","",VLOOKUP(VLOOKUP(V76,'[1]plan gier'!$X:$AF,7,FALSE),'[1]zawodnicy'!$A:$E,3,FALSE)))</f>
        <v>LEJKO</v>
      </c>
      <c r="X76" s="298"/>
      <c r="Y76" s="302"/>
      <c r="Z76" s="2"/>
      <c r="AA76" s="2"/>
      <c r="AB76" s="2"/>
      <c r="AC76" s="304"/>
      <c r="AD76" s="304"/>
      <c r="AE76" s="307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0:63" ht="11.25" customHeight="1">
      <c r="J77" s="93"/>
      <c r="N77" s="94"/>
      <c r="O77" s="95"/>
      <c r="P77" s="94"/>
      <c r="Q77" s="87" t="s">
        <v>36</v>
      </c>
      <c r="S77" s="305" t="str">
        <f>UPPER(IF(N63="","",IF(TYPE(VLOOKUP(2&amp;4&amp;N63,I:J,2,FALSE))=2,VLOOKUP(2&amp;4&amp;N63,I:J,2,FALSE),"")))</f>
        <v>G0013</v>
      </c>
      <c r="T77" s="306"/>
      <c r="U77" s="107" t="str">
        <f>IF(S77&lt;&gt;"",CONCATENATE(VLOOKUP(S77,'[1]zawodnicy'!$A:$E,2,FALSE)," ",VLOOKUP(S77,'[1]zawodnicy'!$A:$E,3,FALSE)," - ",VLOOKUP(S77,'[1]zawodnicy'!$A:$E,4,FALSE)),"")</f>
        <v>Bartosz GROCHOCKI - Mielec</v>
      </c>
      <c r="V77" s="109"/>
      <c r="W77" s="303" t="str">
        <f>IF(ISBLANK(V76),"",IF((VLOOKUP(V76,'[1]plan gier'!$X:$AF,7,FALSE))="",L76,VLOOKUP(V76,'[1]plan gier'!$X:$AF,9,FALSE)))</f>
        <v>21:6,21:4</v>
      </c>
      <c r="X77" s="304"/>
      <c r="Y77" s="304"/>
      <c r="Z77" s="2"/>
      <c r="AA77" s="2"/>
      <c r="AB77" s="2"/>
      <c r="AC77" s="29"/>
      <c r="AD77" s="29"/>
      <c r="AE77" s="104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11.25" customHeight="1">
      <c r="A78" s="110">
        <f>AB78</f>
        <v>25</v>
      </c>
      <c r="B78" s="2" t="str">
        <f>F70</f>
        <v>K0014</v>
      </c>
      <c r="D78" s="2" t="str">
        <f>F86</f>
        <v>B0009</v>
      </c>
      <c r="F78" s="2" t="str">
        <f>IF(A78=0,IF(AND(LEN(B78)&gt;0,LEN(D78)=0),B78,IF(AND(LEN(D78)&gt;0,LEN(B78)=0),D78,"")),IF((VLOOKUP(A78,'[1]plan gier'!$X:$AF,7,FALSE))="","",VLOOKUP(VLOOKUP(A78,'[1]plan gier'!$X:$AF,7,FALSE),'[1]zawodnicy'!$A:$E,1,FALSE)))</f>
        <v>K0014</v>
      </c>
      <c r="H78" s="2" t="str">
        <f>IF(A78=0,"",IF((VLOOKUP(A78,'[1]plan gier'!$X:$AF,7,FALSE))="","",VLOOKUP(A78,'[1]plan gier'!$X:$AF,9,FALSE)))</f>
        <v>12:21,21:18,26:24</v>
      </c>
      <c r="J78" s="93"/>
      <c r="L78" s="40" t="str">
        <f>IF(A78=0,"",IF(VLOOKUP(A78,'[1]plan gier'!A:S,19,FALSE)="","",VLOOKUP(A78,'[1]plan gier'!A:S,19,FALSE)))</f>
        <v>godz.11:00</v>
      </c>
      <c r="M78" s="2" t="str">
        <f>N63</f>
        <v>Runners Up</v>
      </c>
      <c r="N78" s="94"/>
      <c r="O78" s="95"/>
      <c r="P78" s="94"/>
      <c r="S78" s="99"/>
      <c r="T78" s="100"/>
      <c r="U78" s="101"/>
      <c r="V78" s="2"/>
      <c r="W78" s="29"/>
      <c r="X78" s="2"/>
      <c r="Y78" s="2"/>
      <c r="Z78" s="2"/>
      <c r="AA78" s="2"/>
      <c r="AB78" s="111">
        <v>25</v>
      </c>
      <c r="AC78" s="298" t="str">
        <f>IF(ISBLANK(AB78),IF(AND(LEN(AC70)&gt;0,LEN(AC86)=0),AC70,IF(AND(LEN(AC86)&gt;0,LEN(AC70)=0),AC86,"")),IF((VLOOKUP(AB78,'[1]plan gier'!$X:$AF,7,FALSE))="","",VLOOKUP(VLOOKUP(AB78,'[1]plan gier'!$X:$AF,7,FALSE),'[1]zawodnicy'!$A:$E,3,FALSE)))</f>
        <v>KULA </v>
      </c>
      <c r="AD78" s="298"/>
      <c r="AE78" s="30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0:63" ht="11.25" customHeight="1">
      <c r="J79" s="93"/>
      <c r="N79" s="94"/>
      <c r="O79" s="95"/>
      <c r="P79" s="94"/>
      <c r="S79" s="99"/>
      <c r="T79" s="100"/>
      <c r="U79" s="101"/>
      <c r="V79" s="2"/>
      <c r="W79" s="29"/>
      <c r="X79" s="2"/>
      <c r="Y79" s="2"/>
      <c r="Z79" s="2"/>
      <c r="AA79" s="2"/>
      <c r="AB79" s="2"/>
      <c r="AC79" s="304" t="str">
        <f>IF(ISBLANK(AB78),"",IF((VLOOKUP(AB78,'[1]plan gier'!$X:$AF,7,FALSE))="",L78,VLOOKUP(AB78,'[1]plan gier'!$X:$AF,9,FALSE)))</f>
        <v>12:21,21:18,26:24</v>
      </c>
      <c r="AD79" s="304"/>
      <c r="AE79" s="307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11.25" customHeight="1">
      <c r="A80" s="92">
        <f>V80</f>
        <v>17</v>
      </c>
      <c r="B80" s="2" t="str">
        <f>IF(TYPE(S80)=16,"",S80)</f>
        <v>S0032</v>
      </c>
      <c r="D80" s="2" t="str">
        <f>IF(TYPE(S81)=16,"",S81)</f>
        <v>R0015</v>
      </c>
      <c r="F80" s="2" t="str">
        <f>IF(A80=0,IF(AND(LEN(B80)&gt;0,LEN(D80)=0),VLOOKUP(B80,'[1]zawodnicy'!$A:$E,1,FALSE),IF(AND(LEN(D80)&gt;0,LEN(B80)=0),VLOOKUP(D80,'[1]zawodnicy'!$A:$E,1,FALSE),"")),IF((VLOOKUP(A80,'[1]plan gier'!$X:$AF,7,FALSE))="","",VLOOKUP(VLOOKUP(A80,'[1]plan gier'!$X:$AF,7,FALSE),'[1]zawodnicy'!$A:$E,1,FALSE)))</f>
        <v>S0032</v>
      </c>
      <c r="H80" s="2" t="str">
        <f>IF(A80=0,"",IF((VLOOKUP(A80,'[1]plan gier'!$X:$AF,7,FALSE))="","",VLOOKUP(A80,'[1]plan gier'!$X:$AF,9,FALSE)))</f>
        <v>21:17,21:10</v>
      </c>
      <c r="J80" s="93"/>
      <c r="L80" s="40" t="str">
        <f>IF(A80=0,"",IF(VLOOKUP(A80,'[1]plan gier'!A:S,19,FALSE)="","",VLOOKUP(A80,'[1]plan gier'!A:S,19,FALSE)))</f>
        <v>godz.10:20</v>
      </c>
      <c r="M80" s="2" t="str">
        <f>N63</f>
        <v>Runners Up</v>
      </c>
      <c r="N80" s="94"/>
      <c r="O80" s="95"/>
      <c r="P80" s="94"/>
      <c r="Q80" s="87" t="s">
        <v>37</v>
      </c>
      <c r="S80" s="305" t="str">
        <f>UPPER(IF(N63="","",IF(TYPE(VLOOKUP(2&amp;3&amp;N63,I:J,2,FALSE))=2,VLOOKUP(2&amp;3&amp;N63,I:J,2,FALSE),"")))</f>
        <v>S0032</v>
      </c>
      <c r="T80" s="306"/>
      <c r="U80" s="107" t="str">
        <f>IF(S80&lt;&gt;"",CONCATENATE(VLOOKUP(S80,'[1]zawodnicy'!$A:$E,2,FALSE)," ",VLOOKUP(S80,'[1]zawodnicy'!$A:$E,3,FALSE)," - ",VLOOKUP(S80,'[1]zawodnicy'!$A:$E,4,FALSE)),"")</f>
        <v>Łukasz SZANTULA - Mielec</v>
      </c>
      <c r="V80" s="108">
        <v>17</v>
      </c>
      <c r="W80" s="297" t="str">
        <f>IF(ISBLANK(V80),IF(AND(LEN(S80)&gt;0,LEN(S81)=0),VLOOKUP(S80,'[1]zawodnicy'!$A:$E,3,FALSE),IF(AND(LEN(S81)&gt;0,LEN(S80)=0),VLOOKUP(S81,'[1]zawodnicy'!$A:$E,3,FALSE),"")),IF((VLOOKUP(V80,'[1]plan gier'!$X:$AF,7,FALSE))="","",VLOOKUP(VLOOKUP(V80,'[1]plan gier'!$X:$AF,7,FALSE),'[1]zawodnicy'!$A:$E,3,FALSE)))</f>
        <v>SZANTULA</v>
      </c>
      <c r="X80" s="298"/>
      <c r="Y80" s="298"/>
      <c r="Z80" s="2"/>
      <c r="AA80" s="2"/>
      <c r="AB80" s="2"/>
      <c r="AC80" s="29"/>
      <c r="AD80" s="29"/>
      <c r="AE80" s="104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0:63" ht="11.25" customHeight="1">
      <c r="J81" s="93"/>
      <c r="N81" s="94"/>
      <c r="O81" s="95"/>
      <c r="P81" s="94"/>
      <c r="Q81" s="87" t="s">
        <v>38</v>
      </c>
      <c r="S81" s="305" t="str">
        <f>UPPER(IF(N63="","",IF(TYPE(VLOOKUP(2&amp;2&amp;N63,I:J,2,FALSE))=2,VLOOKUP(2&amp;2&amp;N63,I:J,2,FALSE),"")))</f>
        <v>R0015</v>
      </c>
      <c r="T81" s="306"/>
      <c r="U81" s="107" t="str">
        <f>IF(S81&lt;&gt;"",CONCATENATE(VLOOKUP(S81,'[1]zawodnicy'!$A:$E,2,FALSE)," ",VLOOKUP(S81,'[1]zawodnicy'!$A:$E,3,FALSE)," - ",VLOOKUP(S81,'[1]zawodnicy'!$A:$E,4,FALSE)),"")</f>
        <v>Oskar RADZAJ - Mielec</v>
      </c>
      <c r="V81" s="109"/>
      <c r="W81" s="299" t="str">
        <f>IF(ISBLANK(V80),"",IF((VLOOKUP(V80,'[1]plan gier'!$X:$AF,7,FALSE))="",L80,VLOOKUP(V80,'[1]plan gier'!$X:$AF,9,FALSE)))</f>
        <v>21:17,21:10</v>
      </c>
      <c r="X81" s="300"/>
      <c r="Y81" s="301"/>
      <c r="Z81" s="2"/>
      <c r="AA81" s="2"/>
      <c r="AB81" s="2"/>
      <c r="AC81" s="29"/>
      <c r="AD81" s="29"/>
      <c r="AE81" s="104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3" ht="11.25" customHeight="1">
      <c r="A82" s="98">
        <f>Y82</f>
        <v>20</v>
      </c>
      <c r="B82" s="2" t="str">
        <f>F80</f>
        <v>S0032</v>
      </c>
      <c r="D82" s="2" t="str">
        <f>F84</f>
        <v>S0029</v>
      </c>
      <c r="F82" s="2" t="str">
        <f>IF(A82=0,IF(AND(LEN(B82)&gt;0,LEN(D82)=0),B82,IF(AND(LEN(D82)&gt;0,LEN(B82)=0),D82,"")),IF((VLOOKUP(A82,'[1]plan gier'!$X:$AF,7,FALSE))="","",VLOOKUP(VLOOKUP(A82,'[1]plan gier'!$X:$AF,7,FALSE),'[1]zawodnicy'!$A:$E,1,FALSE)))</f>
        <v>S0029</v>
      </c>
      <c r="H82" s="2" t="str">
        <f>IF(A82=0,"",IF((VLOOKUP(A82,'[1]plan gier'!$X:$AF,7,FALSE))="","",VLOOKUP(A82,'[1]plan gier'!$X:$AF,9,FALSE)))</f>
        <v>21:5,21:12</v>
      </c>
      <c r="J82" s="93"/>
      <c r="L82" s="40" t="str">
        <f>IF(A82=0,"",IF(VLOOKUP(A82,'[1]plan gier'!A:S,19,FALSE)="","",VLOOKUP(A82,'[1]plan gier'!A:S,19,FALSE)))</f>
        <v>godz.10:20</v>
      </c>
      <c r="M82" s="2" t="str">
        <f>N63</f>
        <v>Runners Up</v>
      </c>
      <c r="N82" s="94"/>
      <c r="O82" s="95"/>
      <c r="P82" s="94"/>
      <c r="S82" s="99"/>
      <c r="T82" s="100"/>
      <c r="U82" s="2"/>
      <c r="V82" s="2"/>
      <c r="W82" s="101"/>
      <c r="X82" s="29"/>
      <c r="Y82" s="102">
        <v>20</v>
      </c>
      <c r="Z82" s="304" t="str">
        <f>IF(ISBLANK(Y82),IF(AND(LEN(W80)&gt;0,LEN(W84)=0),W80,IF(AND(LEN(W84)&gt;0,LEN(W80)=0),W84,"")),IF((VLOOKUP(Y82,'[1]plan gier'!$X:$AF,7,FALSE))="","",VLOOKUP(VLOOKUP(Y82,'[1]plan gier'!$X:$AF,7,FALSE),'[1]zawodnicy'!$A:$E,3,FALSE)))</f>
        <v>STOLARZ</v>
      </c>
      <c r="AA82" s="304"/>
      <c r="AB82" s="304"/>
      <c r="AC82" s="29"/>
      <c r="AD82" s="29"/>
      <c r="AE82" s="104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0:63" ht="11.25" customHeight="1">
      <c r="J83" s="93"/>
      <c r="N83" s="94"/>
      <c r="O83" s="95"/>
      <c r="P83" s="94"/>
      <c r="S83" s="99"/>
      <c r="T83" s="100"/>
      <c r="U83" s="2"/>
      <c r="V83" s="2"/>
      <c r="W83" s="101"/>
      <c r="X83" s="29"/>
      <c r="Y83" s="103"/>
      <c r="Z83" s="300" t="str">
        <f>IF(ISBLANK(Y82),"",IF((VLOOKUP(Y82,'[1]plan gier'!$X:$AF,7,FALSE))="",L82,VLOOKUP(Y82,'[1]plan gier'!$X:$AF,9,FALSE)))</f>
        <v>21:5,21:12</v>
      </c>
      <c r="AA83" s="300"/>
      <c r="AB83" s="301"/>
      <c r="AC83" s="29"/>
      <c r="AD83" s="29"/>
      <c r="AE83" s="104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63" ht="11.25" customHeight="1">
      <c r="A84" s="92">
        <f>V84</f>
        <v>0</v>
      </c>
      <c r="B84" s="2" t="str">
        <f>IF(TYPE(S84)=16,"",S84)</f>
        <v>S0029</v>
      </c>
      <c r="F84" s="2" t="str">
        <f>IF(A84=0,IF(AND(LEN(B84)&gt;0,LEN(D84)=0),VLOOKUP(B84,'[1]zawodnicy'!$A:$E,1,FALSE),IF(AND(LEN(D84)&gt;0,LEN(B84)=0),VLOOKUP(D84,'[1]zawodnicy'!$A:$E,1,FALSE),"")),IF((VLOOKUP(A84,'[1]plan gier'!$X:$AF,7,FALSE))="","",VLOOKUP(VLOOKUP(A84,'[1]plan gier'!$X:$AF,7,FALSE),'[1]zawodnicy'!$A:$E,1,FALSE)))</f>
        <v>S0029</v>
      </c>
      <c r="H84" s="2">
        <f>IF(A84=0,"",IF((VLOOKUP(A84,'[1]plan gier'!$X:$AF,7,FALSE))="","",VLOOKUP(A84,'[1]plan gier'!$X:$AF,9,FALSE)))</f>
      </c>
      <c r="J84" s="93"/>
      <c r="L84" s="40">
        <f>IF(A84=0,"",IF(VLOOKUP(A84,'[1]plan gier'!A:S,19,FALSE)="","",VLOOKUP(A84,'[1]plan gier'!A:S,19,FALSE)))</f>
      </c>
      <c r="M84" s="2" t="str">
        <f>N63</f>
        <v>Runners Up</v>
      </c>
      <c r="N84" s="94"/>
      <c r="O84" s="95"/>
      <c r="P84" s="94"/>
      <c r="Q84" s="289" t="s">
        <v>39</v>
      </c>
      <c r="R84" s="290"/>
      <c r="S84" s="291" t="str">
        <f>UPPER(IF(N63="","",IF(TYPE(VLOOKUP(1&amp;4&amp;N63,I:J,2,FALSE))=2,VLOOKUP(1&amp;4&amp;N63,I:J,2,FALSE),"")))</f>
        <v>S0029</v>
      </c>
      <c r="T84" s="292"/>
      <c r="U84" s="292" t="str">
        <f>IF(S84&lt;&gt;"",CONCATENATE(VLOOKUP(S84,'[1]zawodnicy'!$A:$E,2,FALSE)," ",VLOOKUP(S84,'[1]zawodnicy'!$A:$E,3,FALSE)," - ",VLOOKUP(S84,'[1]zawodnicy'!$A:$E,4,FALSE)),"")</f>
        <v>Patryk STOLARZ - Mielec</v>
      </c>
      <c r="V84" s="295"/>
      <c r="W84" s="297" t="str">
        <f>IF(ISBLANK(V84),IF(AND(LEN(S84)&gt;0,LEN(S85)=0),VLOOKUP(S84,'[1]zawodnicy'!$A:$E,3,FALSE),IF(AND(LEN(S85)&gt;0,LEN(S84)=0),VLOOKUP(S85,'[1]zawodnicy'!$A:$E,3,FALSE),"")),IF((VLOOKUP(V84,'[1]plan gier'!$X:$AF,7,FALSE))="","",VLOOKUP(VLOOKUP(V84,'[1]plan gier'!$X:$AF,7,FALSE),'[1]zawodnicy'!$A:$E,3,FALSE)))</f>
        <v>STOLARZ</v>
      </c>
      <c r="X84" s="298"/>
      <c r="Y84" s="302"/>
      <c r="Z84" s="29"/>
      <c r="AA84" s="29"/>
      <c r="AB84" s="104"/>
      <c r="AC84" s="29"/>
      <c r="AD84" s="29"/>
      <c r="AE84" s="104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0:63" ht="11.25" customHeight="1">
      <c r="J85" s="93"/>
      <c r="N85" s="94"/>
      <c r="O85" s="95"/>
      <c r="P85" s="94"/>
      <c r="Q85" s="289"/>
      <c r="R85" s="290"/>
      <c r="S85" s="293"/>
      <c r="T85" s="294"/>
      <c r="U85" s="294"/>
      <c r="V85" s="296"/>
      <c r="W85" s="303"/>
      <c r="X85" s="304"/>
      <c r="Y85" s="304"/>
      <c r="Z85" s="29"/>
      <c r="AA85" s="29"/>
      <c r="AB85" s="104"/>
      <c r="AC85" s="29"/>
      <c r="AD85" s="29"/>
      <c r="AE85" s="104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:63" ht="11.25" customHeight="1">
      <c r="A86" s="106">
        <f>AB86</f>
        <v>23</v>
      </c>
      <c r="B86" s="2" t="str">
        <f>F82</f>
        <v>S0029</v>
      </c>
      <c r="D86" s="2" t="str">
        <f>F90</f>
        <v>B0009</v>
      </c>
      <c r="F86" s="2" t="str">
        <f>IF(A86=0,IF(AND(LEN(B86)&gt;0,LEN(D86)=0),B86,IF(AND(LEN(D86)&gt;0,LEN(B86)=0),D86,"")),IF((VLOOKUP(A86,'[1]plan gier'!$X:$AF,7,FALSE))="","",VLOOKUP(VLOOKUP(A86,'[1]plan gier'!$X:$AF,7,FALSE),'[1]zawodnicy'!$A:$E,1,FALSE)))</f>
        <v>B0009</v>
      </c>
      <c r="H86" s="2" t="str">
        <f>IF(A86=0,"",IF((VLOOKUP(A86,'[1]plan gier'!$X:$AF,7,FALSE))="","",VLOOKUP(A86,'[1]plan gier'!$X:$AF,9,FALSE)))</f>
        <v>21:23,21:7,21:0</v>
      </c>
      <c r="J86" s="93"/>
      <c r="L86" s="40" t="str">
        <f>IF(A86=0,"",IF(VLOOKUP(A86,'[1]plan gier'!A:S,19,FALSE)="","",VLOOKUP(A86,'[1]plan gier'!A:S,19,FALSE)))</f>
        <v>godz.10:40</v>
      </c>
      <c r="M86" s="2" t="str">
        <f>N63</f>
        <v>Runners Up</v>
      </c>
      <c r="N86" s="94"/>
      <c r="O86" s="95"/>
      <c r="P86" s="94"/>
      <c r="S86" s="99"/>
      <c r="T86" s="100"/>
      <c r="U86" s="101"/>
      <c r="V86" s="2"/>
      <c r="W86" s="29"/>
      <c r="X86" s="2"/>
      <c r="Y86" s="2"/>
      <c r="Z86" s="29"/>
      <c r="AA86" s="29"/>
      <c r="AB86" s="102">
        <v>23</v>
      </c>
      <c r="AC86" s="298" t="str">
        <f>IF(ISBLANK(AB86),IF(AND(LEN(Z82)&gt;0,LEN(Z90)=0),Z82,IF(AND(LEN(Z90)&gt;0,LEN(Z82)=0),Z90,"")),IF((VLOOKUP(AB86,'[1]plan gier'!$X:$AF,7,FALSE))="","",VLOOKUP(VLOOKUP(AB86,'[1]plan gier'!$X:$AF,7,FALSE),'[1]zawodnicy'!$A:$E,3,FALSE)))</f>
        <v>BUNIO</v>
      </c>
      <c r="AD86" s="298"/>
      <c r="AE86" s="30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0:63" ht="11.25" customHeight="1">
      <c r="J87" s="93"/>
      <c r="N87" s="94"/>
      <c r="O87" s="95"/>
      <c r="P87" s="94"/>
      <c r="S87" s="99"/>
      <c r="T87" s="100"/>
      <c r="U87" s="101"/>
      <c r="V87" s="2"/>
      <c r="W87" s="29"/>
      <c r="X87" s="2"/>
      <c r="Y87" s="2"/>
      <c r="Z87" s="29"/>
      <c r="AA87" s="29"/>
      <c r="AB87" s="103"/>
      <c r="AC87" s="300" t="str">
        <f>IF(ISBLANK(AB86),"",IF((VLOOKUP(AB86,'[1]plan gier'!$X:$AF,7,FALSE))="",L86,VLOOKUP(AB86,'[1]plan gier'!$X:$AF,9,FALSE)))</f>
        <v>21:23,21:7,21:0</v>
      </c>
      <c r="AD87" s="300"/>
      <c r="AE87" s="300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1.25" customHeight="1">
      <c r="A88" s="92">
        <f>V88</f>
        <v>0</v>
      </c>
      <c r="B88" s="2" t="str">
        <f>IF(TYPE(S88)=16,"",S88)</f>
        <v>B0009</v>
      </c>
      <c r="F88" s="2" t="str">
        <f>IF(A88=0,IF(AND(LEN(B88)&gt;0,LEN(D88)=0),VLOOKUP(B88,'[1]zawodnicy'!$A:$E,1,FALSE),IF(AND(LEN(D88)&gt;0,LEN(B88)=0),VLOOKUP(D88,'[1]zawodnicy'!$A:$E,1,FALSE),"")),IF((VLOOKUP(A88,'[1]plan gier'!$X:$AF,7,FALSE))="","",VLOOKUP(VLOOKUP(A88,'[1]plan gier'!$X:$AF,7,FALSE),'[1]zawodnicy'!$A:$E,1,FALSE)))</f>
        <v>B0009</v>
      </c>
      <c r="H88" s="2">
        <f>IF(A88=0,"",IF((VLOOKUP(A88,'[1]plan gier'!$X:$AF,7,FALSE))="","",VLOOKUP(A88,'[1]plan gier'!$X:$AF,9,FALSE)))</f>
      </c>
      <c r="J88" s="93"/>
      <c r="L88" s="40">
        <f>IF(A88=0,"",IF(VLOOKUP(A88,'[1]plan gier'!A:S,19,FALSE)="","",VLOOKUP(A88,'[1]plan gier'!A:S,19,FALSE)))</f>
      </c>
      <c r="M88" s="2" t="str">
        <f>N63</f>
        <v>Runners Up</v>
      </c>
      <c r="N88" s="94"/>
      <c r="O88" s="95"/>
      <c r="P88" s="94"/>
      <c r="Q88" s="289" t="s">
        <v>40</v>
      </c>
      <c r="R88" s="290"/>
      <c r="S88" s="291" t="str">
        <f>UPPER(IF(N63="","",IF(TYPE(VLOOKUP(2&amp;1&amp;N63,I:J,2,FALSE))=2,VLOOKUP(2&amp;1&amp;N63,I:J,2,FALSE),"")))</f>
        <v>B0009</v>
      </c>
      <c r="T88" s="292"/>
      <c r="U88" s="292" t="str">
        <f>IF(S88&lt;&gt;"",CONCATENATE(VLOOKUP(S88,'[1]zawodnicy'!$A:$E,2,FALSE)," ",VLOOKUP(S88,'[1]zawodnicy'!$A:$E,3,FALSE)," - ",VLOOKUP(S88,'[1]zawodnicy'!$A:$E,4,FALSE)),"")</f>
        <v>Adam BUNIO - Nowa Dęba</v>
      </c>
      <c r="V88" s="295"/>
      <c r="W88" s="297" t="str">
        <f>IF(ISBLANK(V88),IF(AND(LEN(S88)&gt;0,LEN(S89)=0),VLOOKUP(S88,'[1]zawodnicy'!$A:$E,3,FALSE),IF(AND(LEN(S89)&gt;0,LEN(S88)=0),VLOOKUP(S89,'[1]zawodnicy'!$A:$E,3,FALSE),"")),IF((VLOOKUP(V88,'[1]plan gier'!$X:$AF,7,FALSE))="","",VLOOKUP(VLOOKUP(V88,'[1]plan gier'!$X:$AF,7,FALSE),'[1]zawodnicy'!$A:$E,3,FALSE)))</f>
        <v>BUNIO</v>
      </c>
      <c r="X88" s="298"/>
      <c r="Y88" s="298"/>
      <c r="Z88" s="29"/>
      <c r="AA88" s="29"/>
      <c r="AB88" s="104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0:63" ht="11.25" customHeight="1">
      <c r="J89" s="93"/>
      <c r="N89" s="94"/>
      <c r="O89" s="95"/>
      <c r="P89" s="94"/>
      <c r="Q89" s="289"/>
      <c r="R89" s="290"/>
      <c r="S89" s="293"/>
      <c r="T89" s="294"/>
      <c r="U89" s="294"/>
      <c r="V89" s="296"/>
      <c r="W89" s="299"/>
      <c r="X89" s="300"/>
      <c r="Y89" s="301"/>
      <c r="Z89" s="29"/>
      <c r="AA89" s="29"/>
      <c r="AB89" s="104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:63" ht="11.25" customHeight="1">
      <c r="A90" s="98">
        <f>Y90</f>
        <v>21</v>
      </c>
      <c r="B90" s="2" t="str">
        <f>F88</f>
        <v>B0009</v>
      </c>
      <c r="D90" s="2" t="str">
        <f>F92</f>
        <v>M0008</v>
      </c>
      <c r="F90" s="2" t="str">
        <f>IF(A90=0,IF(AND(LEN(B90)&gt;0,LEN(D90)=0),B90,IF(AND(LEN(D90)&gt;0,LEN(B90)=0),D90,"")),IF((VLOOKUP(A90,'[1]plan gier'!$X:$AF,7,FALSE))="","",VLOOKUP(VLOOKUP(A90,'[1]plan gier'!$X:$AF,7,FALSE),'[1]zawodnicy'!$A:$E,1,FALSE)))</f>
        <v>B0009</v>
      </c>
      <c r="H90" s="2" t="str">
        <f>IF(A90=0,"",IF((VLOOKUP(A90,'[1]plan gier'!$X:$AF,7,FALSE))="","",VLOOKUP(A90,'[1]plan gier'!$X:$AF,9,FALSE)))</f>
        <v>21:12,21:7</v>
      </c>
      <c r="J90" s="93"/>
      <c r="L90" s="40" t="str">
        <f>IF(A90=0,"",IF(VLOOKUP(A90,'[1]plan gier'!A:S,19,FALSE)="","",VLOOKUP(A90,'[1]plan gier'!A:S,19,FALSE)))</f>
        <v>godz.10:40</v>
      </c>
      <c r="M90" s="2" t="str">
        <f>N63</f>
        <v>Runners Up</v>
      </c>
      <c r="N90" s="94"/>
      <c r="O90" s="95"/>
      <c r="P90" s="94"/>
      <c r="S90" s="99"/>
      <c r="T90" s="100"/>
      <c r="U90" s="2"/>
      <c r="V90" s="2"/>
      <c r="W90" s="101"/>
      <c r="X90" s="29"/>
      <c r="Y90" s="102">
        <v>21</v>
      </c>
      <c r="Z90" s="298" t="str">
        <f>IF(ISBLANK(Y90),IF(AND(LEN(W88)&gt;0,LEN(W92)=0),W88,IF(AND(LEN(W92)&gt;0,LEN(W88)=0),W92,"")),IF((VLOOKUP(Y90,'[1]plan gier'!$X:$AF,7,FALSE))="","",VLOOKUP(VLOOKUP(Y90,'[1]plan gier'!$X:$AF,7,FALSE),'[1]zawodnicy'!$A:$E,3,FALSE)))</f>
        <v>BUNIO</v>
      </c>
      <c r="AA90" s="298"/>
      <c r="AB90" s="30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0:63" ht="11.25" customHeight="1">
      <c r="J91" s="93"/>
      <c r="N91" s="94"/>
      <c r="O91" s="95"/>
      <c r="P91" s="94"/>
      <c r="S91" s="99"/>
      <c r="T91" s="100"/>
      <c r="U91" s="2"/>
      <c r="V91" s="2"/>
      <c r="W91" s="101"/>
      <c r="X91" s="29"/>
      <c r="Y91" s="103"/>
      <c r="Z91" s="304" t="str">
        <f>IF(ISBLANK(Y90),"",IF((VLOOKUP(Y90,'[1]plan gier'!$X:$AF,7,FALSE))="",L90,VLOOKUP(Y90,'[1]plan gier'!$X:$AF,9,FALSE)))</f>
        <v>21:12,21:7</v>
      </c>
      <c r="AA91" s="304"/>
      <c r="AB91" s="304"/>
      <c r="AC91" s="112"/>
      <c r="AD91" s="112"/>
      <c r="AE91" s="11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ht="11.25" customHeight="1">
      <c r="A92" s="92">
        <f>V92</f>
        <v>0</v>
      </c>
      <c r="B92" s="2" t="str">
        <f>IF(TYPE(S92)=16,"",S92)</f>
        <v>M0008</v>
      </c>
      <c r="F92" s="2" t="str">
        <f>IF(A92=0,IF(AND(LEN(B92)&gt;0,LEN(D92)=0),VLOOKUP(B92,'[1]zawodnicy'!$A:$E,1,FALSE),IF(AND(LEN(D92)&gt;0,LEN(B92)=0),VLOOKUP(D92,'[1]zawodnicy'!$A:$E,1,FALSE),"")),IF((VLOOKUP(A92,'[1]plan gier'!$X:$AF,7,FALSE))="","",VLOOKUP(VLOOKUP(A92,'[1]plan gier'!$X:$AF,7,FALSE),'[1]zawodnicy'!$A:$E,1,FALSE)))</f>
        <v>M0008</v>
      </c>
      <c r="H92" s="2">
        <f>IF(A92=0,"",IF((VLOOKUP(A92,'[1]plan gier'!$X:$AF,7,FALSE))="","",VLOOKUP(A92,'[1]plan gier'!$X:$AF,9,FALSE)))</f>
      </c>
      <c r="J92" s="93"/>
      <c r="L92" s="40">
        <f>IF(A92=0,"",IF(VLOOKUP(A92,'[1]plan gier'!A:S,19,FALSE)="","",VLOOKUP(A92,'[1]plan gier'!A:S,19,FALSE)))</f>
      </c>
      <c r="M92" s="2" t="str">
        <f>N63</f>
        <v>Runners Up</v>
      </c>
      <c r="N92" s="94"/>
      <c r="O92" s="95"/>
      <c r="P92" s="94"/>
      <c r="Q92" s="289" t="s">
        <v>41</v>
      </c>
      <c r="R92" s="290"/>
      <c r="S92" s="291" t="str">
        <f>UPPER(IF(N63="","",IF(TYPE(VLOOKUP(1&amp;5&amp;N63,I:J,2,FALSE))=2,VLOOKUP(1&amp;5&amp;N63,I:J,2,FALSE),"")))</f>
        <v>M0008</v>
      </c>
      <c r="T92" s="292"/>
      <c r="U92" s="292" t="str">
        <f>IF(S92&lt;&gt;"",CONCATENATE(VLOOKUP(S92,'[1]zawodnicy'!$A:$E,2,FALSE)," ",VLOOKUP(S92,'[1]zawodnicy'!$A:$E,3,FALSE)," - ",VLOOKUP(S92,'[1]zawodnicy'!$A:$E,4,FALSE)),"")</f>
        <v>Tadeusz MICHALIK - Tarnów</v>
      </c>
      <c r="V92" s="295"/>
      <c r="W92" s="297" t="str">
        <f>IF(ISBLANK(V92),IF(AND(LEN(S92)&gt;0,LEN(S93)=0),VLOOKUP(S92,'[1]zawodnicy'!$A:$E,3,FALSE),IF(AND(LEN(S93)&gt;0,LEN(S92)=0),VLOOKUP(S93,'[1]zawodnicy'!$A:$E,3,FALSE),"")),IF((VLOOKUP(V92,'[1]plan gier'!$X:$AF,7,FALSE))="","",VLOOKUP(VLOOKUP(V92,'[1]plan gier'!$X:$AF,7,FALSE),'[1]zawodnicy'!$A:$E,3,FALSE)))</f>
        <v>MICHALIK</v>
      </c>
      <c r="X92" s="298"/>
      <c r="Y92" s="302"/>
      <c r="Z92" s="2"/>
      <c r="AA92" s="11"/>
      <c r="AB92" s="11"/>
      <c r="AC92" s="11"/>
      <c r="AD92" s="11"/>
      <c r="AE92" s="11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0:63" ht="11.25" customHeight="1">
      <c r="J93" s="93"/>
      <c r="N93" s="94"/>
      <c r="O93" s="95"/>
      <c r="P93" s="94"/>
      <c r="Q93" s="289"/>
      <c r="R93" s="290"/>
      <c r="S93" s="293"/>
      <c r="T93" s="294"/>
      <c r="U93" s="294"/>
      <c r="V93" s="296"/>
      <c r="W93" s="303"/>
      <c r="X93" s="304"/>
      <c r="Y93" s="304"/>
      <c r="Z93" s="2"/>
      <c r="AA93" s="113"/>
      <c r="AB93" s="113"/>
      <c r="AC93" s="113"/>
      <c r="AD93" s="113"/>
      <c r="AE93" s="113"/>
      <c r="AF93" s="52"/>
      <c r="AG93" s="114"/>
      <c r="AH93" s="114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ht="11.25" customHeight="1"/>
    <row r="95" ht="11.25" customHeight="1"/>
    <row r="96" spans="10:63" ht="11.25" customHeight="1">
      <c r="J96" s="2"/>
      <c r="K96" s="2"/>
      <c r="L96" s="2"/>
      <c r="M96" s="115"/>
      <c r="N96" s="116" t="str">
        <f>M98</f>
        <v>Runners Up</v>
      </c>
      <c r="O96" s="89"/>
      <c r="P96" s="89"/>
      <c r="Q96" s="1"/>
      <c r="R96" s="1"/>
      <c r="S96" s="304" t="s">
        <v>42</v>
      </c>
      <c r="T96" s="304"/>
      <c r="U96" s="304"/>
      <c r="V96" s="304"/>
      <c r="W96" s="304" t="s">
        <v>43</v>
      </c>
      <c r="X96" s="304"/>
      <c r="Y96" s="304"/>
      <c r="Z96" s="304"/>
      <c r="AA96" s="304"/>
      <c r="AB96" s="304"/>
      <c r="AC96" s="101"/>
      <c r="AD96" s="101"/>
      <c r="AE96" s="101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0:63" ht="11.25" customHeight="1">
      <c r="J97" s="2"/>
      <c r="K97" s="2"/>
      <c r="L97" s="2"/>
      <c r="N97" s="116" t="s">
        <v>44</v>
      </c>
      <c r="P97" s="89"/>
      <c r="Q97" s="1"/>
      <c r="R97" s="1"/>
      <c r="S97" s="1"/>
      <c r="T97" s="90"/>
      <c r="U97" s="91"/>
      <c r="V97" s="91"/>
      <c r="W97" s="91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:63" ht="11.25" customHeight="1">
      <c r="A98" s="92">
        <f>V98</f>
        <v>24</v>
      </c>
      <c r="B98" s="2" t="str">
        <f>IF(S98="","",S98)</f>
        <v>N0002</v>
      </c>
      <c r="D98" s="2" t="str">
        <f>IF(S99="","",S99)</f>
        <v>S0029</v>
      </c>
      <c r="F98" s="2" t="str">
        <f>IF(A98=0,IF(AND(LEN(B98)&gt;0,LEN(D98)=0),VLOOKUP(B98,'[1]zawodnicy'!$A:$E,1,FALSE),IF(AND(LEN(D98)&gt;0,LEN(B98)=0),VLOOKUP(D98,'[1]zawodnicy'!$A:$E,1,FALSE),"")),IF((VLOOKUP(A98,'[1]plan gier'!$X:$AF,7,FALSE))="","",VLOOKUP(VLOOKUP(A98,'[1]plan gier'!$X:$AF,7,FALSE),'[1]zawodnicy'!$A:$E,1,FALSE)))</f>
        <v>S0029</v>
      </c>
      <c r="H98" s="2" t="str">
        <f>IF(A98=0,"",IF((VLOOKUP(A98,'[1]plan gier'!$X:$AF,7,FALSE))="","",VLOOKUP(A98,'[1]plan gier'!$X:$AF,9,FALSE)))</f>
        <v>21:0,21:0</v>
      </c>
      <c r="J98" s="93"/>
      <c r="K98" s="93"/>
      <c r="L98" s="117" t="str">
        <f>IF(A98=0,"",IF(VLOOKUP(A98,'[1]plan gier'!A:S,19,FALSE)="","",VLOOKUP(A98,'[1]plan gier'!A:S,19,FALSE)))</f>
        <v>godz.10:40</v>
      </c>
      <c r="M98" s="2" t="str">
        <f>IF(N98="","",VLOOKUP(N98,A:M,13,FALSE))</f>
        <v>Runners Up</v>
      </c>
      <c r="N98" s="118">
        <v>22</v>
      </c>
      <c r="O98" s="119"/>
      <c r="P98" s="94"/>
      <c r="S98" s="305" t="str">
        <f>IF(N98="","",IF(LEN(VLOOKUP(N98,A:M,6,FALSE))=0,"",IF(VLOOKUP(N98,A:M,6,FALSE)=VLOOKUP(N98,A:M,2,FALSE),VLOOKUP(N98,A:M,4,FALSE),VLOOKUP(N98,A:M,2,FALSE))))</f>
        <v>N0002</v>
      </c>
      <c r="T98" s="306"/>
      <c r="U98" s="107" t="str">
        <f>IF(S98&lt;&gt;"",CONCATENATE(VLOOKUP(S98,'[1]zawodnicy'!$A:$E,2,FALSE)," ",VLOOKUP(S98,'[1]zawodnicy'!$A:$E,3,FALSE)," - ",VLOOKUP(S98,'[1]zawodnicy'!$A:$E,4,FALSE)),"")</f>
        <v>Robert NOWAK - Mielec</v>
      </c>
      <c r="V98" s="108">
        <v>24</v>
      </c>
      <c r="W98" s="297" t="str">
        <f>IF(F98="","",VLOOKUP(F98,'[1]zawodnicy'!$A:$D,3,FALSE))</f>
        <v>STOLARZ</v>
      </c>
      <c r="X98" s="298"/>
      <c r="Y98" s="298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0:63" ht="11.25" customHeight="1">
      <c r="J99" s="93"/>
      <c r="K99" s="93"/>
      <c r="L99" s="93"/>
      <c r="N99" s="118">
        <v>23</v>
      </c>
      <c r="O99" s="119"/>
      <c r="P99" s="94"/>
      <c r="S99" s="305" t="str">
        <f>IF(N99="","",IF(LEN(VLOOKUP(N99,A:M,6,FALSE))=0,"",IF(VLOOKUP(N99,A:M,6,FALSE)=VLOOKUP(N99,A:M,2,FALSE),VLOOKUP(N99,A:M,4,FALSE),VLOOKUP(N99,A:M,2,FALSE))))</f>
        <v>S0029</v>
      </c>
      <c r="T99" s="306"/>
      <c r="U99" s="107" t="str">
        <f>IF(S99&lt;&gt;"",CONCATENATE(VLOOKUP(S99,'[1]zawodnicy'!$A:$E,2,FALSE)," ",VLOOKUP(S99,'[1]zawodnicy'!$A:$E,3,FALSE)," - ",VLOOKUP(S99,'[1]zawodnicy'!$A:$E,4,FALSE)),"")</f>
        <v>Patryk STOLARZ - Mielec</v>
      </c>
      <c r="V99" s="109"/>
      <c r="W99" s="299" t="str">
        <f>IF(H98="",L98,H98)</f>
        <v>21:0,21:0</v>
      </c>
      <c r="X99" s="300"/>
      <c r="Y99" s="300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ht="11.25" customHeight="1"/>
    <row r="101" ht="11.25" customHeight="1"/>
    <row r="102" spans="13:31" ht="11.25" customHeight="1">
      <c r="M102" s="9"/>
      <c r="N102" s="10" t="s">
        <v>45</v>
      </c>
      <c r="Q102" s="253" t="str">
        <f>"Gra "&amp;N102</f>
        <v>Gra Kobiet</v>
      </c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</row>
    <row r="103" ht="11.25" customHeight="1" thickBot="1"/>
    <row r="104" spans="14:32" ht="11.25" customHeight="1" thickBot="1">
      <c r="N104" s="8"/>
      <c r="O104" s="14">
        <v>1</v>
      </c>
      <c r="Q104" s="253" t="str">
        <f>"Grupa "&amp;O104&amp;"."</f>
        <v>Grupa 1.</v>
      </c>
      <c r="R104" s="253"/>
      <c r="S104" s="254"/>
      <c r="T104" s="15" t="s">
        <v>1</v>
      </c>
      <c r="U104" s="255" t="s">
        <v>2</v>
      </c>
      <c r="V104" s="256"/>
      <c r="W104" s="15">
        <v>1</v>
      </c>
      <c r="X104" s="17">
        <v>2</v>
      </c>
      <c r="Y104" s="18">
        <v>3</v>
      </c>
      <c r="Z104" s="19" t="s">
        <v>3</v>
      </c>
      <c r="AA104" s="20" t="s">
        <v>4</v>
      </c>
      <c r="AB104" s="20" t="s">
        <v>5</v>
      </c>
      <c r="AC104" s="21" t="s">
        <v>6</v>
      </c>
      <c r="AD104" s="2"/>
      <c r="AE104" s="22"/>
      <c r="AF104" s="22"/>
    </row>
    <row r="105" spans="10:45" ht="11.25" customHeight="1">
      <c r="J105" s="23"/>
      <c r="K105" s="23"/>
      <c r="L105" s="23"/>
      <c r="N105" s="24" t="s">
        <v>45</v>
      </c>
      <c r="Q105" s="257" t="s">
        <v>7</v>
      </c>
      <c r="R105" s="257"/>
      <c r="S105" s="258" t="s">
        <v>8</v>
      </c>
      <c r="T105" s="259">
        <v>1</v>
      </c>
      <c r="U105" s="262">
        <f>IF(AND(N106&lt;&gt;"",N107&lt;&gt;""),CONCATENATE(VLOOKUP(N106,'[1]zawodnicy'!$A:$E,1,FALSE)," ",VLOOKUP(N106,'[1]zawodnicy'!$A:$E,2,FALSE)," ",VLOOKUP(N106,'[1]zawodnicy'!$A:$E,3,FALSE)," - ",VLOOKUP(N106,'[1]zawodnicy'!$A:$E,4,FALSE)),"")</f>
      </c>
      <c r="V105" s="263"/>
      <c r="W105" s="25"/>
      <c r="X105" s="26" t="str">
        <f>IF(SUM(AN110:AO110)=0,"",AN110&amp;":"&amp;AO110)</f>
        <v>9:21</v>
      </c>
      <c r="Y105" s="27" t="str">
        <f>IF(SUM(AN108:AO108)=0,"",AN108&amp;":"&amp;AO108)</f>
        <v>21:9</v>
      </c>
      <c r="Z105" s="259" t="str">
        <f>IF(SUM(AX108:BA108)=0,"",BD108&amp;":"&amp;BE108)</f>
        <v>54:56</v>
      </c>
      <c r="AA105" s="264" t="str">
        <f>IF(SUM(AX108:BA108)=0,"",BF108&amp;":"&amp;BG108)</f>
        <v>2:2</v>
      </c>
      <c r="AB105" s="264" t="str">
        <f>IF(SUM(AX108:BA108)=0,"",BH108&amp;":"&amp;BI108)</f>
        <v>1:1</v>
      </c>
      <c r="AC105" s="267">
        <f>IF(SUM(BH108:BH110)&gt;0,BJ108,"")</f>
        <v>2</v>
      </c>
      <c r="AD105" s="2"/>
      <c r="AE105" s="22"/>
      <c r="AF105" s="22"/>
      <c r="AG105" s="28"/>
      <c r="AH105" s="270" t="s">
        <v>9</v>
      </c>
      <c r="AI105" s="270"/>
      <c r="AJ105" s="270"/>
      <c r="AK105" s="270"/>
      <c r="AL105" s="270"/>
      <c r="AM105" s="270"/>
      <c r="AN105" s="270" t="s">
        <v>10</v>
      </c>
      <c r="AO105" s="270"/>
      <c r="AP105" s="270"/>
      <c r="AQ105" s="270"/>
      <c r="AR105" s="270"/>
      <c r="AS105" s="270"/>
    </row>
    <row r="106" spans="9:59" ht="11.25" customHeight="1" thickBot="1">
      <c r="I106" s="2" t="str">
        <f>"1"&amp;O104&amp;N105</f>
        <v>11Kobiet</v>
      </c>
      <c r="J106" s="29" t="str">
        <f>IF(AC105="","",IF(AC105=1,N106,IF(AC108=1,N109,IF(AC111=1,N112,""))))</f>
        <v>M0027</v>
      </c>
      <c r="K106" s="29">
        <f>IF(AC105="","",IF(AC105=1,N107,IF(AC108=1,N110,IF(AC111=1,N113,""))))</f>
        <v>0</v>
      </c>
      <c r="L106" s="29"/>
      <c r="N106" s="30" t="s">
        <v>46</v>
      </c>
      <c r="O106" s="31">
        <f>IF(O104&gt;0,(O104&amp;1)*1,"")</f>
        <v>11</v>
      </c>
      <c r="Q106" s="257"/>
      <c r="R106" s="257"/>
      <c r="S106" s="258"/>
      <c r="T106" s="260"/>
      <c r="U106" s="271" t="str">
        <f>IF(AND(N106&lt;&gt;"",N107=""),CONCATENATE(VLOOKUP(N106,'[1]zawodnicy'!$A:$E,1,FALSE)," ",VLOOKUP(N106,'[1]zawodnicy'!$A:$E,2,FALSE)," ",VLOOKUP(N106,'[1]zawodnicy'!$A:$E,3,FALSE)," - ",VLOOKUP(N106,'[1]zawodnicy'!$A:$E,4,FALSE)),"")</f>
        <v>N0005 Izabela NOWAK - Mielec</v>
      </c>
      <c r="V106" s="272"/>
      <c r="W106" s="32"/>
      <c r="X106" s="33" t="str">
        <f>IF(SUM(AP110:AQ110)=0,"",AP110&amp;":"&amp;AQ110)</f>
        <v>3:21</v>
      </c>
      <c r="Y106" s="34" t="str">
        <f>IF(SUM(AP108:AQ108)=0,"",AP108&amp;":"&amp;AQ108)</f>
        <v>21:5</v>
      </c>
      <c r="Z106" s="260"/>
      <c r="AA106" s="265"/>
      <c r="AB106" s="265"/>
      <c r="AC106" s="268"/>
      <c r="AD106" s="2"/>
      <c r="AE106" s="22"/>
      <c r="AF106" s="22"/>
      <c r="AG106" s="28"/>
      <c r="BD106" s="12">
        <f>SUM(BD108:BD110)</f>
        <v>153</v>
      </c>
      <c r="BE106" s="12">
        <f>SUM(BE108:BE110)</f>
        <v>153</v>
      </c>
      <c r="BF106" s="12">
        <f>SUM(BF108:BF110)</f>
        <v>6</v>
      </c>
      <c r="BG106" s="12">
        <f>SUM(BG108:BG110)</f>
        <v>6</v>
      </c>
    </row>
    <row r="107" spans="10:63" ht="11.25" customHeight="1" thickBot="1">
      <c r="J107" s="29"/>
      <c r="K107" s="23"/>
      <c r="L107" s="23"/>
      <c r="N107" s="35"/>
      <c r="O107" s="23"/>
      <c r="P107" s="23"/>
      <c r="Q107" s="257"/>
      <c r="R107" s="257"/>
      <c r="S107" s="258"/>
      <c r="T107" s="261"/>
      <c r="U107" s="273">
        <f>IF(N107&lt;&gt;"",CONCATENATE(VLOOKUP(N107,'[1]zawodnicy'!$A:$E,1,FALSE)," ",VLOOKUP(N107,'[1]zawodnicy'!$A:$E,2,FALSE)," ",VLOOKUP(N107,'[1]zawodnicy'!$A:$E,3,FALSE)," - ",VLOOKUP(N107,'[1]zawodnicy'!$A:$E,4,FALSE)),"")</f>
      </c>
      <c r="V107" s="274"/>
      <c r="W107" s="32"/>
      <c r="X107" s="36">
        <f>IF(SUM(AR110:AS110)=0,"",AR110&amp;":"&amp;AS110)</f>
      </c>
      <c r="Y107" s="37">
        <f>IF(SUM(AR108:AS108)=0,"",AR108&amp;":"&amp;AS108)</f>
      </c>
      <c r="Z107" s="261"/>
      <c r="AA107" s="266"/>
      <c r="AB107" s="266"/>
      <c r="AC107" s="269"/>
      <c r="AD107" s="2"/>
      <c r="AE107" s="22"/>
      <c r="AF107" s="22"/>
      <c r="AG107" s="28"/>
      <c r="AH107" s="275" t="s">
        <v>12</v>
      </c>
      <c r="AI107" s="276"/>
      <c r="AJ107" s="277" t="s">
        <v>13</v>
      </c>
      <c r="AK107" s="276"/>
      <c r="AL107" s="277" t="s">
        <v>14</v>
      </c>
      <c r="AM107" s="278"/>
      <c r="AN107" s="275" t="s">
        <v>12</v>
      </c>
      <c r="AO107" s="276"/>
      <c r="AP107" s="277" t="s">
        <v>13</v>
      </c>
      <c r="AQ107" s="276"/>
      <c r="AR107" s="277" t="s">
        <v>14</v>
      </c>
      <c r="AS107" s="276"/>
      <c r="AT107" s="22"/>
      <c r="AU107" s="22"/>
      <c r="AV107" s="275">
        <v>1</v>
      </c>
      <c r="AW107" s="276"/>
      <c r="AX107" s="277">
        <v>2</v>
      </c>
      <c r="AY107" s="276"/>
      <c r="AZ107" s="277">
        <v>3</v>
      </c>
      <c r="BA107" s="278"/>
      <c r="BD107" s="275" t="s">
        <v>3</v>
      </c>
      <c r="BE107" s="278"/>
      <c r="BF107" s="275" t="s">
        <v>4</v>
      </c>
      <c r="BG107" s="278"/>
      <c r="BH107" s="275" t="s">
        <v>5</v>
      </c>
      <c r="BI107" s="278"/>
      <c r="BJ107" s="38" t="s">
        <v>6</v>
      </c>
      <c r="BK107" s="13">
        <f>SUM(BK108:BK110)</f>
        <v>0</v>
      </c>
    </row>
    <row r="108" spans="1:63" ht="11.25" customHeight="1">
      <c r="A108" s="12">
        <f>S108</f>
        <v>26</v>
      </c>
      <c r="B108" s="2" t="str">
        <f>IF(N106="","",N106)</f>
        <v>N0005</v>
      </c>
      <c r="C108" s="2">
        <f>IF(N107="","",N107)</f>
      </c>
      <c r="D108" s="2" t="str">
        <f>IF(N112="","",N112)</f>
        <v>R0016</v>
      </c>
      <c r="E108" s="2">
        <f>IF(N113="","",N113)</f>
      </c>
      <c r="I108" s="2" t="str">
        <f>"2"&amp;O104&amp;N105</f>
        <v>21Kobiet</v>
      </c>
      <c r="J108" s="29" t="str">
        <f>IF(AC108="","",IF(AC105=2,N106,IF(AC108=2,N109,IF(AC111=2,N112,""))))</f>
        <v>N0005</v>
      </c>
      <c r="K108" s="29">
        <f>IF(AC108="","",IF(AC105=2,N107,IF(AC108=2,N110,IF(AC111=2,N113,""))))</f>
        <v>0</v>
      </c>
      <c r="M108" s="39" t="str">
        <f>N105</f>
        <v>Kobiet</v>
      </c>
      <c r="O108" s="23"/>
      <c r="P108" s="23"/>
      <c r="Q108" s="40">
        <f>IF(AT108&gt;0,"",IF(A108=0,"",IF(VLOOKUP(A108,'[1]plan gier'!A:S,19,FALSE)="","",VLOOKUP(A108,'[1]plan gier'!A:S,19,FALSE))))</f>
      </c>
      <c r="R108" s="41" t="s">
        <v>15</v>
      </c>
      <c r="S108" s="42">
        <v>26</v>
      </c>
      <c r="T108" s="279">
        <v>2</v>
      </c>
      <c r="U108" s="280">
        <f>IF(AND(N109&lt;&gt;"",N110&lt;&gt;""),CONCATENATE(VLOOKUP(N109,'[1]zawodnicy'!$A:$E,1,FALSE)," ",VLOOKUP(N109,'[1]zawodnicy'!$A:$E,2,FALSE)," ",VLOOKUP(N109,'[1]zawodnicy'!$A:$E,3,FALSE)," - ",VLOOKUP(N109,'[1]zawodnicy'!$A:$E,4,FALSE)),"")</f>
      </c>
      <c r="V108" s="281"/>
      <c r="W108" s="43" t="str">
        <f>IF(SUM(AN110:AO110)=0,"",AO110&amp;":"&amp;AN110)</f>
        <v>21:9</v>
      </c>
      <c r="X108" s="44"/>
      <c r="Y108" s="45" t="str">
        <f>IF(SUM(AN109:AO109)=0,"",AN109&amp;":"&amp;AO109)</f>
        <v>21:1</v>
      </c>
      <c r="Z108" s="279" t="str">
        <f>IF(SUM(AV109:AW109,AZ109:BA109)=0,"",BD109&amp;":"&amp;BE109)</f>
        <v>84:13</v>
      </c>
      <c r="AA108" s="282" t="str">
        <f>IF(SUM(AV109:AW109,AZ109:BA109)=0,"",BF109&amp;":"&amp;BG109)</f>
        <v>4:0</v>
      </c>
      <c r="AB108" s="282" t="str">
        <f>IF(SUM(AV109:AW109,AZ109:BA109)=0,"",BH109&amp;":"&amp;BI109)</f>
        <v>2:0</v>
      </c>
      <c r="AC108" s="283">
        <f>IF(SUM(BH108:BH110)&gt;0,BJ109,"")</f>
        <v>1</v>
      </c>
      <c r="AD108" s="2"/>
      <c r="AE108" s="22"/>
      <c r="AF108" s="22"/>
      <c r="AG108" s="41" t="s">
        <v>15</v>
      </c>
      <c r="AH108" s="46">
        <f>IF(ISBLANK(S108),"",VLOOKUP(S108,'[1]plan gier'!$X:$AN,12,FALSE))</f>
        <v>21</v>
      </c>
      <c r="AI108" s="47">
        <f>IF(ISBLANK(S108),"",VLOOKUP(S108,'[1]plan gier'!$X:$AN,13,FALSE))</f>
        <v>9</v>
      </c>
      <c r="AJ108" s="47">
        <f>IF(ISBLANK(S108),"",VLOOKUP(S108,'[1]plan gier'!$X:$AN,14,FALSE))</f>
        <v>21</v>
      </c>
      <c r="AK108" s="47">
        <f>IF(ISBLANK(S108),"",VLOOKUP(S108,'[1]plan gier'!$X:$AN,15,FALSE))</f>
        <v>5</v>
      </c>
      <c r="AL108" s="47">
        <f>IF(ISBLANK(S108),"",VLOOKUP(S108,'[1]plan gier'!$X:$AN,16,FALSE))</f>
        <v>0</v>
      </c>
      <c r="AM108" s="47">
        <f>IF(ISBLANK(S108),"",VLOOKUP(S108,'[1]plan gier'!$X:$AN,17,FALSE))</f>
        <v>0</v>
      </c>
      <c r="AN108" s="48">
        <f aca="true" t="shared" si="5" ref="AN108:AS110">IF(AH108="",0,AH108)</f>
        <v>21</v>
      </c>
      <c r="AO108" s="49">
        <f t="shared" si="5"/>
        <v>9</v>
      </c>
      <c r="AP108" s="50">
        <f t="shared" si="5"/>
        <v>21</v>
      </c>
      <c r="AQ108" s="49">
        <f t="shared" si="5"/>
        <v>5</v>
      </c>
      <c r="AR108" s="50">
        <f t="shared" si="5"/>
        <v>0</v>
      </c>
      <c r="AS108" s="49">
        <f t="shared" si="5"/>
        <v>0</v>
      </c>
      <c r="AT108" s="51">
        <f>SUM(AN108:AS108)</f>
        <v>56</v>
      </c>
      <c r="AU108" s="52">
        <v>1</v>
      </c>
      <c r="AV108" s="53"/>
      <c r="AW108" s="54"/>
      <c r="AX108" s="47">
        <f>IF(AH110&gt;AI110,1,0)+IF(AJ110&gt;AK110,1,0)+IF(AL110&gt;AM110,1,0)</f>
        <v>0</v>
      </c>
      <c r="AY108" s="47">
        <f>AV109</f>
        <v>2</v>
      </c>
      <c r="AZ108" s="47">
        <f>IF(AH108&gt;AI108,1,0)+IF(AJ108&gt;AK108,1,0)+IF(AL108&gt;AM108,1,0)</f>
        <v>2</v>
      </c>
      <c r="BA108" s="55">
        <f>AV110</f>
        <v>0</v>
      </c>
      <c r="BD108" s="46">
        <f>AN108+AP108+AR108+AN110+AP110+AR110</f>
        <v>54</v>
      </c>
      <c r="BE108" s="55">
        <f>AO108+AQ108+AS108+AO110+AQ110+AS110</f>
        <v>56</v>
      </c>
      <c r="BF108" s="46">
        <f>AX108+AZ108</f>
        <v>2</v>
      </c>
      <c r="BG108" s="55">
        <f>AY108+BA108</f>
        <v>2</v>
      </c>
      <c r="BH108" s="46">
        <f>IF(AX108&gt;AY108,1,0)+IF(AZ108&gt;BA108,1,0)</f>
        <v>1</v>
      </c>
      <c r="BI108" s="56">
        <f>IF(AY108&gt;AX108,1,0)+IF(BA108&gt;AZ108,1,0)</f>
        <v>1</v>
      </c>
      <c r="BJ108" s="57">
        <f>IF(BH108+BI108=0,"",IF(BK108=MAX(BK108:BK110),1,IF(BK108=MIN(BK108:BK110),3,2)))</f>
        <v>2</v>
      </c>
      <c r="BK108" s="13">
        <f>IF(BH108+BI108&lt;&gt;0,BH108-BI108+(BF108-BG108)/100+(BD108-BE108)/10000,-2)</f>
        <v>-0.0002</v>
      </c>
    </row>
    <row r="109" spans="1:63" ht="11.25" customHeight="1">
      <c r="A109" s="12">
        <f>S109</f>
        <v>28</v>
      </c>
      <c r="B109" s="2" t="str">
        <f>IF(N109="","",N109)</f>
        <v>M0027</v>
      </c>
      <c r="C109" s="2">
        <f>IF(N110="","",N110)</f>
      </c>
      <c r="D109" s="2" t="str">
        <f>IF(N112="","",N112)</f>
        <v>R0016</v>
      </c>
      <c r="E109" s="2">
        <f>IF(N113="","",N113)</f>
      </c>
      <c r="J109" s="29"/>
      <c r="K109" s="12"/>
      <c r="M109" s="39" t="str">
        <f>N105</f>
        <v>Kobiet</v>
      </c>
      <c r="N109" s="30" t="s">
        <v>47</v>
      </c>
      <c r="O109" s="31">
        <f>IF(O104&gt;0,(O104&amp;2)*1,"")</f>
        <v>12</v>
      </c>
      <c r="Q109" s="40">
        <f>IF(AT109&gt;0,"",IF(A109=0,"",IF(VLOOKUP(A109,'[1]plan gier'!A:S,19,FALSE)="","",VLOOKUP(A109,'[1]plan gier'!A:S,19,FALSE))))</f>
      </c>
      <c r="R109" s="41" t="s">
        <v>17</v>
      </c>
      <c r="S109" s="42">
        <v>28</v>
      </c>
      <c r="T109" s="260"/>
      <c r="U109" s="271" t="str">
        <f>IF(AND(N109&lt;&gt;"",N110=""),CONCATENATE(VLOOKUP(N109,'[1]zawodnicy'!$A:$E,1,FALSE)," ",VLOOKUP(N109,'[1]zawodnicy'!$A:$E,2,FALSE)," ",VLOOKUP(N109,'[1]zawodnicy'!$A:$E,3,FALSE)," - ",VLOOKUP(N109,'[1]zawodnicy'!$A:$E,4,FALSE)),"")</f>
        <v>M0027 Beata MYCEK - Nowa Dęba</v>
      </c>
      <c r="V109" s="272"/>
      <c r="W109" s="58" t="str">
        <f>IF(SUM(AP110:AQ110)=0,"",AQ110&amp;":"&amp;AP110)</f>
        <v>21:3</v>
      </c>
      <c r="X109" s="59"/>
      <c r="Y109" s="34" t="str">
        <f>IF(SUM(AP109:AQ109)=0,"",AP109&amp;":"&amp;AQ109)</f>
        <v>21:0</v>
      </c>
      <c r="Z109" s="260"/>
      <c r="AA109" s="265"/>
      <c r="AB109" s="265"/>
      <c r="AC109" s="268"/>
      <c r="AD109" s="2"/>
      <c r="AE109" s="22"/>
      <c r="AF109" s="22"/>
      <c r="AG109" s="41" t="s">
        <v>17</v>
      </c>
      <c r="AH109" s="60">
        <f>IF(ISBLANK(S109),"",VLOOKUP(S109,'[1]plan gier'!$X:$AN,12,FALSE))</f>
        <v>21</v>
      </c>
      <c r="AI109" s="61">
        <f>IF(ISBLANK(S109),"",VLOOKUP(S109,'[1]plan gier'!$X:$AN,13,FALSE))</f>
        <v>1</v>
      </c>
      <c r="AJ109" s="61">
        <f>IF(ISBLANK(S109),"",VLOOKUP(S109,'[1]plan gier'!$X:$AN,14,FALSE))</f>
        <v>21</v>
      </c>
      <c r="AK109" s="61">
        <f>IF(ISBLANK(S109),"",VLOOKUP(S109,'[1]plan gier'!$X:$AN,15,FALSE))</f>
        <v>0</v>
      </c>
      <c r="AL109" s="61">
        <f>IF(ISBLANK(S109),"",VLOOKUP(S109,'[1]plan gier'!$X:$AN,16,FALSE))</f>
        <v>0</v>
      </c>
      <c r="AM109" s="61">
        <f>IF(ISBLANK(S109),"",VLOOKUP(S109,'[1]plan gier'!$X:$AN,17,FALSE))</f>
        <v>0</v>
      </c>
      <c r="AN109" s="62">
        <f t="shared" si="5"/>
        <v>21</v>
      </c>
      <c r="AO109" s="61">
        <f t="shared" si="5"/>
        <v>1</v>
      </c>
      <c r="AP109" s="63">
        <f t="shared" si="5"/>
        <v>21</v>
      </c>
      <c r="AQ109" s="61">
        <f t="shared" si="5"/>
        <v>0</v>
      </c>
      <c r="AR109" s="63">
        <f t="shared" si="5"/>
        <v>0</v>
      </c>
      <c r="AS109" s="61">
        <f t="shared" si="5"/>
        <v>0</v>
      </c>
      <c r="AT109" s="51">
        <f>SUM(AN109:AS109)</f>
        <v>43</v>
      </c>
      <c r="AU109" s="52">
        <v>2</v>
      </c>
      <c r="AV109" s="60">
        <f>IF(AH110&lt;AI110,1,0)+IF(AJ110&lt;AK110,1,0)+IF(AL110&lt;AM110,1,0)</f>
        <v>2</v>
      </c>
      <c r="AW109" s="61">
        <f>AX108</f>
        <v>0</v>
      </c>
      <c r="AX109" s="64"/>
      <c r="AY109" s="65"/>
      <c r="AZ109" s="61">
        <f>IF(AH109&gt;AI109,1,0)+IF(AJ109&gt;AK109,1,0)+IF(AL109&gt;AM109,1,0)</f>
        <v>2</v>
      </c>
      <c r="BA109" s="66">
        <f>AX110</f>
        <v>0</v>
      </c>
      <c r="BD109" s="60">
        <f>AN109+AP109+AR109+AO110+AQ110+AS110</f>
        <v>84</v>
      </c>
      <c r="BE109" s="66">
        <f>AO109+AQ109+AS109+AN110+AP110+AR110</f>
        <v>13</v>
      </c>
      <c r="BF109" s="60">
        <f>AV109+AZ109</f>
        <v>4</v>
      </c>
      <c r="BG109" s="66">
        <f>AW109+BA109</f>
        <v>0</v>
      </c>
      <c r="BH109" s="60">
        <f>IF(AV109&gt;AW109,1,0)+IF(AZ109&gt;BA109,1,0)</f>
        <v>2</v>
      </c>
      <c r="BI109" s="67">
        <f>IF(AW109&gt;AV109,1,0)+IF(BA109&gt;AZ109,1,0)</f>
        <v>0</v>
      </c>
      <c r="BJ109" s="68">
        <f>IF(BH109+BI109=0,"",IF(BK109=MAX(BK108:BK110),1,IF(BK109=MIN(BK108:BK110),3,2)))</f>
        <v>1</v>
      </c>
      <c r="BK109" s="13">
        <f>IF(BH109+BI109&lt;&gt;0,BH109-BI109+(BF109-BG109)/100+(BD109-BE109)/10000,-2)</f>
        <v>2.0471</v>
      </c>
    </row>
    <row r="110" spans="1:63" ht="11.25" customHeight="1" thickBot="1">
      <c r="A110" s="12">
        <f>S110</f>
        <v>30</v>
      </c>
      <c r="B110" s="2" t="str">
        <f>IF(N106="","",N106)</f>
        <v>N0005</v>
      </c>
      <c r="C110" s="2">
        <f>IF(N107="","",N107)</f>
      </c>
      <c r="D110" s="2" t="str">
        <f>IF(N109="","",N109)</f>
        <v>M0027</v>
      </c>
      <c r="E110" s="2">
        <f>IF(N110="","",N110)</f>
      </c>
      <c r="I110" s="2" t="str">
        <f>"3"&amp;O104&amp;N105</f>
        <v>31Kobiet</v>
      </c>
      <c r="J110" s="29" t="str">
        <f>IF(AC111="","",IF(AC105=3,N106,IF(AC108=3,N109,IF(AC111=3,N112,""))))</f>
        <v>R0016</v>
      </c>
      <c r="K110" s="29">
        <f>IF(AC111="","",IF(AC105=3,N107,IF(AC108=3,N110,IF(AC111=3,N113,""))))</f>
        <v>0</v>
      </c>
      <c r="M110" s="39" t="str">
        <f>N105</f>
        <v>Kobiet</v>
      </c>
      <c r="N110" s="35"/>
      <c r="O110" s="23"/>
      <c r="P110" s="23"/>
      <c r="Q110" s="40">
        <f>IF(AT110&gt;0,"",IF(A110=0,"",IF(VLOOKUP(A110,'[1]plan gier'!A:S,19,FALSE)="","",VLOOKUP(A110,'[1]plan gier'!A:S,19,FALSE))))</f>
      </c>
      <c r="R110" s="69" t="s">
        <v>18</v>
      </c>
      <c r="S110" s="42">
        <v>30</v>
      </c>
      <c r="T110" s="261"/>
      <c r="U110" s="273">
        <f>IF(N110&lt;&gt;"",CONCATENATE(VLOOKUP(N110,'[1]zawodnicy'!$A:$E,1,FALSE)," ",VLOOKUP(N110,'[1]zawodnicy'!$A:$E,2,FALSE)," ",VLOOKUP(N110,'[1]zawodnicy'!$A:$E,3,FALSE)," - ",VLOOKUP(N110,'[1]zawodnicy'!$A:$E,4,FALSE)),"")</f>
      </c>
      <c r="V110" s="274"/>
      <c r="W110" s="70">
        <f>IF(SUM(AR110:AS110)=0,"",AS110&amp;":"&amp;AR110)</f>
      </c>
      <c r="X110" s="59"/>
      <c r="Y110" s="37">
        <f>IF(SUM(AR109:AS109)=0,"",AR109&amp;":"&amp;AS109)</f>
      </c>
      <c r="Z110" s="261"/>
      <c r="AA110" s="266"/>
      <c r="AB110" s="266"/>
      <c r="AC110" s="269"/>
      <c r="AD110" s="2"/>
      <c r="AE110" s="22"/>
      <c r="AF110" s="22"/>
      <c r="AG110" s="69" t="s">
        <v>18</v>
      </c>
      <c r="AH110" s="71">
        <f>IF(ISBLANK(S110),"",VLOOKUP(S110,'[1]plan gier'!$X:$AN,12,FALSE))</f>
        <v>9</v>
      </c>
      <c r="AI110" s="72">
        <f>IF(ISBLANK(S110),"",VLOOKUP(S110,'[1]plan gier'!$X:$AN,13,FALSE))</f>
        <v>21</v>
      </c>
      <c r="AJ110" s="72">
        <f>IF(ISBLANK(S110),"",VLOOKUP(S110,'[1]plan gier'!$X:$AN,14,FALSE))</f>
        <v>3</v>
      </c>
      <c r="AK110" s="72">
        <f>IF(ISBLANK(S110),"",VLOOKUP(S110,'[1]plan gier'!$X:$AN,15,FALSE))</f>
        <v>21</v>
      </c>
      <c r="AL110" s="72">
        <f>IF(ISBLANK(S110),"",VLOOKUP(S110,'[1]plan gier'!$X:$AN,16,FALSE))</f>
        <v>0</v>
      </c>
      <c r="AM110" s="72">
        <f>IF(ISBLANK(S110),"",VLOOKUP(S110,'[1]plan gier'!$X:$AN,17,FALSE))</f>
        <v>0</v>
      </c>
      <c r="AN110" s="73">
        <f t="shared" si="5"/>
        <v>9</v>
      </c>
      <c r="AO110" s="72">
        <f t="shared" si="5"/>
        <v>21</v>
      </c>
      <c r="AP110" s="74">
        <f t="shared" si="5"/>
        <v>3</v>
      </c>
      <c r="AQ110" s="72">
        <f t="shared" si="5"/>
        <v>21</v>
      </c>
      <c r="AR110" s="74">
        <f t="shared" si="5"/>
        <v>0</v>
      </c>
      <c r="AS110" s="72">
        <f t="shared" si="5"/>
        <v>0</v>
      </c>
      <c r="AT110" s="51">
        <f>SUM(AN110:AS110)</f>
        <v>54</v>
      </c>
      <c r="AU110" s="52">
        <v>3</v>
      </c>
      <c r="AV110" s="71">
        <f>IF(AH108&lt;AI108,1,0)+IF(AJ108&lt;AK108,1,0)+IF(AL108&lt;AM108,1,0)</f>
        <v>0</v>
      </c>
      <c r="AW110" s="72">
        <f>AZ108</f>
        <v>2</v>
      </c>
      <c r="AX110" s="72">
        <f>IF(AH109&lt;AI109,1,0)+IF(AJ109&lt;AK109,1,0)+IF(AL109&lt;AM109,1,0)</f>
        <v>0</v>
      </c>
      <c r="AY110" s="72">
        <f>AZ109</f>
        <v>2</v>
      </c>
      <c r="AZ110" s="75"/>
      <c r="BA110" s="76"/>
      <c r="BD110" s="71">
        <f>AO108+AQ108+AS108+AO109+AQ109+AS109</f>
        <v>15</v>
      </c>
      <c r="BE110" s="77">
        <f>AN108+AP108+AR108+AN109+AP109+AR109</f>
        <v>84</v>
      </c>
      <c r="BF110" s="71">
        <f>AV110+AX110</f>
        <v>0</v>
      </c>
      <c r="BG110" s="77">
        <f>AW110+AY110</f>
        <v>4</v>
      </c>
      <c r="BH110" s="71">
        <f>IF(AV110&gt;AW110,1,0)+IF(AX110&gt;AY110,1,0)</f>
        <v>0</v>
      </c>
      <c r="BI110" s="78">
        <f>IF(AW110&gt;AV110,1,0)+IF(AY110&gt;AX110,1,0)</f>
        <v>2</v>
      </c>
      <c r="BJ110" s="79">
        <f>IF(BH110+BI110=0,"",IF(BK110=MAX(BK108:BK110),1,IF(BK110=MIN(BK108:BK110),3,2)))</f>
        <v>3</v>
      </c>
      <c r="BK110" s="13">
        <f>IF(BH110+BI110&lt;&gt;0,BH110-BI110+(BF110-BG110)/100+(BD110-BE110)/10000,-2)</f>
        <v>-2.0469</v>
      </c>
    </row>
    <row r="111" spans="1:59" ht="11.25" customHeight="1">
      <c r="A111" s="2"/>
      <c r="J111" s="23"/>
      <c r="K111" s="23"/>
      <c r="L111" s="23"/>
      <c r="O111" s="23"/>
      <c r="P111" s="23"/>
      <c r="Q111" s="2"/>
      <c r="R111" s="2"/>
      <c r="S111" s="2"/>
      <c r="T111" s="279">
        <v>3</v>
      </c>
      <c r="U111" s="280">
        <f>IF(AND(N112&lt;&gt;"",N113&lt;&gt;""),CONCATENATE(VLOOKUP(N112,'[1]zawodnicy'!$A:$E,1,FALSE)," ",VLOOKUP(N112,'[1]zawodnicy'!$A:$E,2,FALSE)," ",VLOOKUP(N112,'[1]zawodnicy'!$A:$E,3,FALSE)," - ",VLOOKUP(N112,'[1]zawodnicy'!$A:$E,4,FALSE)),"")</f>
      </c>
      <c r="V111" s="281"/>
      <c r="W111" s="43" t="str">
        <f>IF(SUM(AN108:AO108)=0,"",AO108&amp;":"&amp;AN108)</f>
        <v>9:21</v>
      </c>
      <c r="X111" s="80" t="str">
        <f>IF(SUM(AN109:AO109)=0,"",AO109&amp;":"&amp;AN109)</f>
        <v>1:21</v>
      </c>
      <c r="Y111" s="81"/>
      <c r="Z111" s="279" t="str">
        <f>IF(SUM(AV110:AY110)=0,"",BD110&amp;":"&amp;BE110)</f>
        <v>15:84</v>
      </c>
      <c r="AA111" s="282" t="str">
        <f>IF(SUM(AV110:AY110)=0,"",BF110&amp;":"&amp;BG110)</f>
        <v>0:4</v>
      </c>
      <c r="AB111" s="282" t="str">
        <f>IF(SUM(AV110:AY110)=0,"",BH110&amp;":"&amp;BI110)</f>
        <v>0:2</v>
      </c>
      <c r="AC111" s="283">
        <f>IF(SUM(BH108:BH110)&gt;0,BJ110,"")</f>
        <v>3</v>
      </c>
      <c r="AD111" s="2"/>
      <c r="AE111" s="22"/>
      <c r="AF111" s="22"/>
      <c r="BD111" s="12">
        <f>SUM(BD108:BD110)</f>
        <v>153</v>
      </c>
      <c r="BE111" s="12">
        <f>SUM(BE108:BE110)</f>
        <v>153</v>
      </c>
      <c r="BF111" s="12">
        <f>SUM(BF108:BF110)</f>
        <v>6</v>
      </c>
      <c r="BG111" s="12">
        <f>SUM(BG108:BG110)</f>
        <v>6</v>
      </c>
    </row>
    <row r="112" spans="1:63" ht="11.25" customHeight="1">
      <c r="A112" s="12"/>
      <c r="J112" s="12"/>
      <c r="K112" s="12"/>
      <c r="L112" s="12"/>
      <c r="N112" s="30" t="s">
        <v>48</v>
      </c>
      <c r="O112" s="31">
        <f>IF(O104&gt;0,(O104&amp;3)*1,"")</f>
        <v>13</v>
      </c>
      <c r="Q112" s="82"/>
      <c r="R112" s="82"/>
      <c r="S112" s="42"/>
      <c r="T112" s="260"/>
      <c r="U112" s="271" t="str">
        <f>IF(AND(N112&lt;&gt;"",N113=""),CONCATENATE(VLOOKUP(N112,'[1]zawodnicy'!$A:$E,1,FALSE)," ",VLOOKUP(N112,'[1]zawodnicy'!$A:$E,2,FALSE)," ",VLOOKUP(N112,'[1]zawodnicy'!$A:$E,3,FALSE)," - ",VLOOKUP(N112,'[1]zawodnicy'!$A:$E,4,FALSE)),"")</f>
        <v>R0016 Oliwia RYBIŃSKA - Mielec</v>
      </c>
      <c r="V112" s="272"/>
      <c r="W112" s="58" t="str">
        <f>IF(SUM(AP108:AQ108)=0,"",AQ108&amp;":"&amp;AP108)</f>
        <v>5:21</v>
      </c>
      <c r="X112" s="33" t="str">
        <f>IF(SUM(AP109:AQ109)=0,"",AQ109&amp;":"&amp;AP109)</f>
        <v>0:21</v>
      </c>
      <c r="Y112" s="83"/>
      <c r="Z112" s="260"/>
      <c r="AA112" s="265"/>
      <c r="AB112" s="265"/>
      <c r="AC112" s="268"/>
      <c r="AD112" s="2"/>
      <c r="AE112" s="22"/>
      <c r="AF112" s="2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:63" ht="11.25" customHeight="1" thickBot="1">
      <c r="A113" s="2"/>
      <c r="J113" s="23"/>
      <c r="K113" s="23"/>
      <c r="L113" s="23"/>
      <c r="N113" s="35"/>
      <c r="O113" s="23"/>
      <c r="P113" s="23"/>
      <c r="Q113" s="2"/>
      <c r="R113" s="2"/>
      <c r="S113" s="2"/>
      <c r="T113" s="284"/>
      <c r="U113" s="287">
        <f>IF(N113&lt;&gt;"",CONCATENATE(VLOOKUP(N113,'[1]zawodnicy'!$A:$E,1,FALSE)," ",VLOOKUP(N113,'[1]zawodnicy'!$A:$E,2,FALSE)," ",VLOOKUP(N113,'[1]zawodnicy'!$A:$E,3,FALSE)," - ",VLOOKUP(N113,'[1]zawodnicy'!$A:$E,4,FALSE)),"")</f>
      </c>
      <c r="V113" s="288"/>
      <c r="W113" s="84">
        <f>IF(SUM(AR108:AS108)=0,"",AS108&amp;":"&amp;AR108)</f>
      </c>
      <c r="X113" s="85">
        <f>IF(SUM(AR109:AS109)=0,"",AS109&amp;":"&amp;AR109)</f>
      </c>
      <c r="Y113" s="86"/>
      <c r="Z113" s="284"/>
      <c r="AA113" s="285"/>
      <c r="AB113" s="285"/>
      <c r="AC113" s="286"/>
      <c r="AD113" s="29"/>
      <c r="AE113" s="22"/>
      <c r="AF113" s="2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ht="11.25" customHeight="1" thickBot="1"/>
    <row r="115" spans="14:32" ht="11.25" customHeight="1" thickBot="1">
      <c r="N115" s="8"/>
      <c r="O115" s="14">
        <v>2</v>
      </c>
      <c r="Q115" s="253" t="str">
        <f>"Grupa "&amp;O115&amp;"."</f>
        <v>Grupa 2.</v>
      </c>
      <c r="R115" s="253"/>
      <c r="S115" s="254"/>
      <c r="T115" s="15" t="s">
        <v>1</v>
      </c>
      <c r="U115" s="255" t="s">
        <v>2</v>
      </c>
      <c r="V115" s="256"/>
      <c r="W115" s="15">
        <v>1</v>
      </c>
      <c r="X115" s="17">
        <v>2</v>
      </c>
      <c r="Y115" s="18">
        <v>3</v>
      </c>
      <c r="Z115" s="19" t="s">
        <v>3</v>
      </c>
      <c r="AA115" s="20" t="s">
        <v>4</v>
      </c>
      <c r="AB115" s="20" t="s">
        <v>5</v>
      </c>
      <c r="AC115" s="21" t="s">
        <v>6</v>
      </c>
      <c r="AD115" s="2"/>
      <c r="AE115" s="22"/>
      <c r="AF115" s="22"/>
    </row>
    <row r="116" spans="10:45" ht="11.25" customHeight="1">
      <c r="J116" s="23"/>
      <c r="K116" s="23"/>
      <c r="L116" s="23"/>
      <c r="N116" s="24" t="s">
        <v>45</v>
      </c>
      <c r="Q116" s="257" t="s">
        <v>7</v>
      </c>
      <c r="R116" s="257"/>
      <c r="S116" s="258" t="s">
        <v>8</v>
      </c>
      <c r="T116" s="259">
        <v>1</v>
      </c>
      <c r="U116" s="262">
        <f>IF(AND(N117&lt;&gt;"",N118&lt;&gt;""),CONCATENATE(VLOOKUP(N117,'[1]zawodnicy'!$A:$E,1,FALSE)," ",VLOOKUP(N117,'[1]zawodnicy'!$A:$E,2,FALSE)," ",VLOOKUP(N117,'[1]zawodnicy'!$A:$E,3,FALSE)," - ",VLOOKUP(N117,'[1]zawodnicy'!$A:$E,4,FALSE)),"")</f>
      </c>
      <c r="V116" s="263"/>
      <c r="W116" s="25"/>
      <c r="X116" s="26" t="str">
        <f>IF(SUM(AN121:AO121)=0,"",AN121&amp;":"&amp;AO121)</f>
        <v>21:4</v>
      </c>
      <c r="Y116" s="27" t="str">
        <f>IF(SUM(AN119:AO119)=0,"",AN119&amp;":"&amp;AO119)</f>
        <v>21:9</v>
      </c>
      <c r="Z116" s="259" t="str">
        <f>IF(SUM(AX119:BA119)=0,"",BD119&amp;":"&amp;BE119)</f>
        <v>84:19</v>
      </c>
      <c r="AA116" s="264" t="str">
        <f>IF(SUM(AX119:BA119)=0,"",BF119&amp;":"&amp;BG119)</f>
        <v>4:0</v>
      </c>
      <c r="AB116" s="264" t="str">
        <f>IF(SUM(AX119:BA119)=0,"",BH119&amp;":"&amp;BI119)</f>
        <v>2:0</v>
      </c>
      <c r="AC116" s="267">
        <f>IF(SUM(BH119:BH121)&gt;0,BJ119,"")</f>
        <v>1</v>
      </c>
      <c r="AD116" s="2"/>
      <c r="AE116" s="22"/>
      <c r="AF116" s="22"/>
      <c r="AG116" s="28"/>
      <c r="AH116" s="270" t="s">
        <v>9</v>
      </c>
      <c r="AI116" s="270"/>
      <c r="AJ116" s="270"/>
      <c r="AK116" s="270"/>
      <c r="AL116" s="270"/>
      <c r="AM116" s="270"/>
      <c r="AN116" s="270" t="s">
        <v>10</v>
      </c>
      <c r="AO116" s="270"/>
      <c r="AP116" s="270"/>
      <c r="AQ116" s="270"/>
      <c r="AR116" s="270"/>
      <c r="AS116" s="270"/>
    </row>
    <row r="117" spans="9:59" ht="11.25" customHeight="1" thickBot="1">
      <c r="I117" s="2" t="str">
        <f>"1"&amp;O115&amp;N116</f>
        <v>12Kobiet</v>
      </c>
      <c r="J117" s="29" t="str">
        <f>IF(AC116="","",IF(AC116=1,N117,IF(AC119=1,N120,IF(AC122=1,N123,""))))</f>
        <v>R0013</v>
      </c>
      <c r="K117" s="29">
        <f>IF(AC116="","",IF(AC116=1,N118,IF(AC119=1,N121,IF(AC122=1,N124,""))))</f>
        <v>0</v>
      </c>
      <c r="L117" s="29"/>
      <c r="N117" s="30" t="s">
        <v>49</v>
      </c>
      <c r="O117" s="31">
        <f>IF(O115&gt;0,(O115&amp;1)*1,"")</f>
        <v>21</v>
      </c>
      <c r="Q117" s="257"/>
      <c r="R117" s="257"/>
      <c r="S117" s="258"/>
      <c r="T117" s="260"/>
      <c r="U117" s="271" t="str">
        <f>IF(AND(N117&lt;&gt;"",N118=""),CONCATENATE(VLOOKUP(N117,'[1]zawodnicy'!$A:$E,1,FALSE)," ",VLOOKUP(N117,'[1]zawodnicy'!$A:$E,2,FALSE)," ",VLOOKUP(N117,'[1]zawodnicy'!$A:$E,3,FALSE)," - ",VLOOKUP(N117,'[1]zawodnicy'!$A:$E,4,FALSE)),"")</f>
        <v>R0013 Natalia RÓG - Nowa Dęba</v>
      </c>
      <c r="V117" s="272"/>
      <c r="W117" s="32"/>
      <c r="X117" s="33" t="str">
        <f>IF(SUM(AP121:AQ121)=0,"",AP121&amp;":"&amp;AQ121)</f>
        <v>21:2</v>
      </c>
      <c r="Y117" s="34" t="str">
        <f>IF(SUM(AP119:AQ119)=0,"",AP119&amp;":"&amp;AQ119)</f>
        <v>21:4</v>
      </c>
      <c r="Z117" s="260"/>
      <c r="AA117" s="265"/>
      <c r="AB117" s="265"/>
      <c r="AC117" s="268"/>
      <c r="AD117" s="2"/>
      <c r="AE117" s="22"/>
      <c r="AF117" s="22"/>
      <c r="AG117" s="28"/>
      <c r="BD117" s="12">
        <f>SUM(BD119:BD121)</f>
        <v>151</v>
      </c>
      <c r="BE117" s="12">
        <f>SUM(BE119:BE121)</f>
        <v>151</v>
      </c>
      <c r="BF117" s="12">
        <f>SUM(BF119:BF121)</f>
        <v>6</v>
      </c>
      <c r="BG117" s="12">
        <f>SUM(BG119:BG121)</f>
        <v>6</v>
      </c>
    </row>
    <row r="118" spans="10:63" ht="11.25" customHeight="1" thickBot="1">
      <c r="J118" s="29"/>
      <c r="K118" s="23"/>
      <c r="L118" s="23"/>
      <c r="N118" s="35"/>
      <c r="O118" s="23"/>
      <c r="P118" s="23"/>
      <c r="Q118" s="257"/>
      <c r="R118" s="257"/>
      <c r="S118" s="258"/>
      <c r="T118" s="261"/>
      <c r="U118" s="273">
        <f>IF(N118&lt;&gt;"",CONCATENATE(VLOOKUP(N118,'[1]zawodnicy'!$A:$E,1,FALSE)," ",VLOOKUP(N118,'[1]zawodnicy'!$A:$E,2,FALSE)," ",VLOOKUP(N118,'[1]zawodnicy'!$A:$E,3,FALSE)," - ",VLOOKUP(N118,'[1]zawodnicy'!$A:$E,4,FALSE)),"")</f>
      </c>
      <c r="V118" s="274"/>
      <c r="W118" s="32"/>
      <c r="X118" s="36">
        <f>IF(SUM(AR121:AS121)=0,"",AR121&amp;":"&amp;AS121)</f>
      </c>
      <c r="Y118" s="37">
        <f>IF(SUM(AR119:AS119)=0,"",AR119&amp;":"&amp;AS119)</f>
      </c>
      <c r="Z118" s="261"/>
      <c r="AA118" s="266"/>
      <c r="AB118" s="266"/>
      <c r="AC118" s="269"/>
      <c r="AD118" s="2"/>
      <c r="AE118" s="22"/>
      <c r="AF118" s="22"/>
      <c r="AG118" s="28"/>
      <c r="AH118" s="275" t="s">
        <v>12</v>
      </c>
      <c r="AI118" s="276"/>
      <c r="AJ118" s="277" t="s">
        <v>13</v>
      </c>
      <c r="AK118" s="276"/>
      <c r="AL118" s="277" t="s">
        <v>14</v>
      </c>
      <c r="AM118" s="278"/>
      <c r="AN118" s="275" t="s">
        <v>12</v>
      </c>
      <c r="AO118" s="276"/>
      <c r="AP118" s="277" t="s">
        <v>13</v>
      </c>
      <c r="AQ118" s="276"/>
      <c r="AR118" s="277" t="s">
        <v>14</v>
      </c>
      <c r="AS118" s="276"/>
      <c r="AT118" s="22"/>
      <c r="AU118" s="22"/>
      <c r="AV118" s="275">
        <v>1</v>
      </c>
      <c r="AW118" s="276"/>
      <c r="AX118" s="277">
        <v>2</v>
      </c>
      <c r="AY118" s="276"/>
      <c r="AZ118" s="277">
        <v>3</v>
      </c>
      <c r="BA118" s="278"/>
      <c r="BD118" s="275" t="s">
        <v>3</v>
      </c>
      <c r="BE118" s="278"/>
      <c r="BF118" s="275" t="s">
        <v>4</v>
      </c>
      <c r="BG118" s="278"/>
      <c r="BH118" s="275" t="s">
        <v>5</v>
      </c>
      <c r="BI118" s="278"/>
      <c r="BJ118" s="38" t="s">
        <v>6</v>
      </c>
      <c r="BK118" s="13">
        <f>SUM(BK119:BK121)</f>
        <v>-1.4495783046131194E-16</v>
      </c>
    </row>
    <row r="119" spans="1:63" ht="11.25" customHeight="1">
      <c r="A119" s="12">
        <f>S119</f>
        <v>27</v>
      </c>
      <c r="B119" s="2" t="str">
        <f>IF(N117="","",N117)</f>
        <v>R0013</v>
      </c>
      <c r="C119" s="2">
        <f>IF(N118="","",N118)</f>
      </c>
      <c r="D119" s="2" t="str">
        <f>IF(N123="","",N123)</f>
        <v>D0008</v>
      </c>
      <c r="E119" s="2">
        <f>IF(N124="","",N124)</f>
      </c>
      <c r="I119" s="2" t="str">
        <f>"2"&amp;O115&amp;N116</f>
        <v>22Kobiet</v>
      </c>
      <c r="J119" s="29" t="str">
        <f>IF(AC119="","",IF(AC116=2,N117,IF(AC119=2,N120,IF(AC122=2,N123,""))))</f>
        <v>D0008</v>
      </c>
      <c r="K119" s="29">
        <f>IF(AC119="","",IF(AC116=2,N118,IF(AC119=2,N121,IF(AC122=2,N124,""))))</f>
        <v>0</v>
      </c>
      <c r="M119" s="39" t="str">
        <f>N116</f>
        <v>Kobiet</v>
      </c>
      <c r="O119" s="23"/>
      <c r="P119" s="23"/>
      <c r="Q119" s="40">
        <f>IF(AT119&gt;0,"",IF(A119=0,"",IF(VLOOKUP(A119,'[1]plan gier'!A:S,19,FALSE)="","",VLOOKUP(A119,'[1]plan gier'!A:S,19,FALSE))))</f>
      </c>
      <c r="R119" s="41" t="s">
        <v>15</v>
      </c>
      <c r="S119" s="42">
        <v>27</v>
      </c>
      <c r="T119" s="279">
        <v>2</v>
      </c>
      <c r="U119" s="280">
        <f>IF(AND(N120&lt;&gt;"",N121&lt;&gt;""),CONCATENATE(VLOOKUP(N120,'[1]zawodnicy'!$A:$E,1,FALSE)," ",VLOOKUP(N120,'[1]zawodnicy'!$A:$E,2,FALSE)," ",VLOOKUP(N120,'[1]zawodnicy'!$A:$E,3,FALSE)," - ",VLOOKUP(N120,'[1]zawodnicy'!$A:$E,4,FALSE)),"")</f>
      </c>
      <c r="V119" s="281"/>
      <c r="W119" s="43" t="str">
        <f>IF(SUM(AN121:AO121)=0,"",AO121&amp;":"&amp;AN121)</f>
        <v>4:21</v>
      </c>
      <c r="X119" s="44"/>
      <c r="Y119" s="45" t="str">
        <f>IF(SUM(AN120:AO120)=0,"",AN120&amp;":"&amp;AO120)</f>
        <v>2:21</v>
      </c>
      <c r="Z119" s="279" t="str">
        <f>IF(SUM(AV120:AW120,AZ120:BA120)=0,"",BD120&amp;":"&amp;BE120)</f>
        <v>12:84</v>
      </c>
      <c r="AA119" s="282" t="str">
        <f>IF(SUM(AV120:AW120,AZ120:BA120)=0,"",BF120&amp;":"&amp;BG120)</f>
        <v>0:4</v>
      </c>
      <c r="AB119" s="282" t="str">
        <f>IF(SUM(AV120:AW120,AZ120:BA120)=0,"",BH120&amp;":"&amp;BI120)</f>
        <v>0:2</v>
      </c>
      <c r="AC119" s="283">
        <f>IF(SUM(BH119:BH121)&gt;0,BJ120,"")</f>
        <v>3</v>
      </c>
      <c r="AD119" s="2"/>
      <c r="AE119" s="22"/>
      <c r="AF119" s="22"/>
      <c r="AG119" s="41" t="s">
        <v>15</v>
      </c>
      <c r="AH119" s="46">
        <f>IF(ISBLANK(S119),"",VLOOKUP(S119,'[1]plan gier'!$X:$AN,12,FALSE))</f>
        <v>21</v>
      </c>
      <c r="AI119" s="47">
        <f>IF(ISBLANK(S119),"",VLOOKUP(S119,'[1]plan gier'!$X:$AN,13,FALSE))</f>
        <v>9</v>
      </c>
      <c r="AJ119" s="47">
        <f>IF(ISBLANK(S119),"",VLOOKUP(S119,'[1]plan gier'!$X:$AN,14,FALSE))</f>
        <v>21</v>
      </c>
      <c r="AK119" s="47">
        <f>IF(ISBLANK(S119),"",VLOOKUP(S119,'[1]plan gier'!$X:$AN,15,FALSE))</f>
        <v>4</v>
      </c>
      <c r="AL119" s="47">
        <f>IF(ISBLANK(S119),"",VLOOKUP(S119,'[1]plan gier'!$X:$AN,16,FALSE))</f>
        <v>0</v>
      </c>
      <c r="AM119" s="47">
        <f>IF(ISBLANK(S119),"",VLOOKUP(S119,'[1]plan gier'!$X:$AN,17,FALSE))</f>
        <v>0</v>
      </c>
      <c r="AN119" s="48">
        <f aca="true" t="shared" si="6" ref="AN119:AS121">IF(AH119="",0,AH119)</f>
        <v>21</v>
      </c>
      <c r="AO119" s="49">
        <f t="shared" si="6"/>
        <v>9</v>
      </c>
      <c r="AP119" s="50">
        <f t="shared" si="6"/>
        <v>21</v>
      </c>
      <c r="AQ119" s="49">
        <f t="shared" si="6"/>
        <v>4</v>
      </c>
      <c r="AR119" s="50">
        <f t="shared" si="6"/>
        <v>0</v>
      </c>
      <c r="AS119" s="49">
        <f t="shared" si="6"/>
        <v>0</v>
      </c>
      <c r="AT119" s="51">
        <f>SUM(AN119:AS119)</f>
        <v>55</v>
      </c>
      <c r="AU119" s="52">
        <v>1</v>
      </c>
      <c r="AV119" s="53"/>
      <c r="AW119" s="54"/>
      <c r="AX119" s="47">
        <f>IF(AH121&gt;AI121,1,0)+IF(AJ121&gt;AK121,1,0)+IF(AL121&gt;AM121,1,0)</f>
        <v>2</v>
      </c>
      <c r="AY119" s="47">
        <f>AV120</f>
        <v>0</v>
      </c>
      <c r="AZ119" s="47">
        <f>IF(AH119&gt;AI119,1,0)+IF(AJ119&gt;AK119,1,0)+IF(AL119&gt;AM119,1,0)</f>
        <v>2</v>
      </c>
      <c r="BA119" s="55">
        <f>AV121</f>
        <v>0</v>
      </c>
      <c r="BD119" s="46">
        <f>AN119+AP119+AR119+AN121+AP121+AR121</f>
        <v>84</v>
      </c>
      <c r="BE119" s="55">
        <f>AO119+AQ119+AS119+AO121+AQ121+AS121</f>
        <v>19</v>
      </c>
      <c r="BF119" s="46">
        <f>AX119+AZ119</f>
        <v>4</v>
      </c>
      <c r="BG119" s="55">
        <f>AY119+BA119</f>
        <v>0</v>
      </c>
      <c r="BH119" s="46">
        <f>IF(AX119&gt;AY119,1,0)+IF(AZ119&gt;BA119,1,0)</f>
        <v>2</v>
      </c>
      <c r="BI119" s="56">
        <f>IF(AY119&gt;AX119,1,0)+IF(BA119&gt;AZ119,1,0)</f>
        <v>0</v>
      </c>
      <c r="BJ119" s="57">
        <f>IF(BH119+BI119=0,"",IF(BK119=MAX(BK119:BK121),1,IF(BK119=MIN(BK119:BK121),3,2)))</f>
        <v>1</v>
      </c>
      <c r="BK119" s="13">
        <f>IF(BH119+BI119&lt;&gt;0,BH119-BI119+(BF119-BG119)/100+(BD119-BE119)/10000,-2)</f>
        <v>2.0465</v>
      </c>
    </row>
    <row r="120" spans="1:63" ht="11.25" customHeight="1">
      <c r="A120" s="12">
        <f>S120</f>
        <v>29</v>
      </c>
      <c r="B120" s="2" t="str">
        <f>IF(N120="","",N120)</f>
        <v>G0016</v>
      </c>
      <c r="C120" s="2">
        <f>IF(N121="","",N121)</f>
      </c>
      <c r="D120" s="2" t="str">
        <f>IF(N123="","",N123)</f>
        <v>D0008</v>
      </c>
      <c r="E120" s="2">
        <f>IF(N124="","",N124)</f>
      </c>
      <c r="J120" s="29"/>
      <c r="K120" s="12"/>
      <c r="M120" s="39" t="str">
        <f>N116</f>
        <v>Kobiet</v>
      </c>
      <c r="N120" s="30" t="s">
        <v>50</v>
      </c>
      <c r="O120" s="31">
        <f>IF(O115&gt;0,(O115&amp;2)*1,"")</f>
        <v>22</v>
      </c>
      <c r="Q120" s="40">
        <f>IF(AT120&gt;0,"",IF(A120=0,"",IF(VLOOKUP(A120,'[1]plan gier'!A:S,19,FALSE)="","",VLOOKUP(A120,'[1]plan gier'!A:S,19,FALSE))))</f>
      </c>
      <c r="R120" s="41" t="s">
        <v>17</v>
      </c>
      <c r="S120" s="42">
        <v>29</v>
      </c>
      <c r="T120" s="260"/>
      <c r="U120" s="271" t="str">
        <f>IF(AND(N120&lt;&gt;"",N121=""),CONCATENATE(VLOOKUP(N120,'[1]zawodnicy'!$A:$E,1,FALSE)," ",VLOOKUP(N120,'[1]zawodnicy'!$A:$E,2,FALSE)," ",VLOOKUP(N120,'[1]zawodnicy'!$A:$E,3,FALSE)," - ",VLOOKUP(N120,'[1]zawodnicy'!$A:$E,4,FALSE)),"")</f>
        <v>G0016 Wiktoria GRĄDZKA - Mielec</v>
      </c>
      <c r="V120" s="272"/>
      <c r="W120" s="58" t="str">
        <f>IF(SUM(AP121:AQ121)=0,"",AQ121&amp;":"&amp;AP121)</f>
        <v>2:21</v>
      </c>
      <c r="X120" s="59"/>
      <c r="Y120" s="34" t="str">
        <f>IF(SUM(AP120:AQ120)=0,"",AP120&amp;":"&amp;AQ120)</f>
        <v>4:21</v>
      </c>
      <c r="Z120" s="260"/>
      <c r="AA120" s="265"/>
      <c r="AB120" s="265"/>
      <c r="AC120" s="268"/>
      <c r="AD120" s="2"/>
      <c r="AE120" s="22"/>
      <c r="AF120" s="22"/>
      <c r="AG120" s="41" t="s">
        <v>17</v>
      </c>
      <c r="AH120" s="60">
        <f>IF(ISBLANK(S120),"",VLOOKUP(S120,'[1]plan gier'!$X:$AN,12,FALSE))</f>
        <v>2</v>
      </c>
      <c r="AI120" s="61">
        <f>IF(ISBLANK(S120),"",VLOOKUP(S120,'[1]plan gier'!$X:$AN,13,FALSE))</f>
        <v>21</v>
      </c>
      <c r="AJ120" s="61">
        <f>IF(ISBLANK(S120),"",VLOOKUP(S120,'[1]plan gier'!$X:$AN,14,FALSE))</f>
        <v>4</v>
      </c>
      <c r="AK120" s="61">
        <f>IF(ISBLANK(S120),"",VLOOKUP(S120,'[1]plan gier'!$X:$AN,15,FALSE))</f>
        <v>21</v>
      </c>
      <c r="AL120" s="61">
        <f>IF(ISBLANK(S120),"",VLOOKUP(S120,'[1]plan gier'!$X:$AN,16,FALSE))</f>
        <v>0</v>
      </c>
      <c r="AM120" s="61">
        <f>IF(ISBLANK(S120),"",VLOOKUP(S120,'[1]plan gier'!$X:$AN,17,FALSE))</f>
        <v>0</v>
      </c>
      <c r="AN120" s="62">
        <f t="shared" si="6"/>
        <v>2</v>
      </c>
      <c r="AO120" s="61">
        <f t="shared" si="6"/>
        <v>21</v>
      </c>
      <c r="AP120" s="63">
        <f t="shared" si="6"/>
        <v>4</v>
      </c>
      <c r="AQ120" s="61">
        <f t="shared" si="6"/>
        <v>21</v>
      </c>
      <c r="AR120" s="63">
        <f t="shared" si="6"/>
        <v>0</v>
      </c>
      <c r="AS120" s="61">
        <f t="shared" si="6"/>
        <v>0</v>
      </c>
      <c r="AT120" s="51">
        <f>SUM(AN120:AS120)</f>
        <v>48</v>
      </c>
      <c r="AU120" s="52">
        <v>2</v>
      </c>
      <c r="AV120" s="60">
        <f>IF(AH121&lt;AI121,1,0)+IF(AJ121&lt;AK121,1,0)+IF(AL121&lt;AM121,1,0)</f>
        <v>0</v>
      </c>
      <c r="AW120" s="61">
        <f>AX119</f>
        <v>2</v>
      </c>
      <c r="AX120" s="64"/>
      <c r="AY120" s="65"/>
      <c r="AZ120" s="61">
        <f>IF(AH120&gt;AI120,1,0)+IF(AJ120&gt;AK120,1,0)+IF(AL120&gt;AM120,1,0)</f>
        <v>0</v>
      </c>
      <c r="BA120" s="66">
        <f>AX121</f>
        <v>2</v>
      </c>
      <c r="BD120" s="60">
        <f>AN120+AP120+AR120+AO121+AQ121+AS121</f>
        <v>12</v>
      </c>
      <c r="BE120" s="66">
        <f>AO120+AQ120+AS120+AN121+AP121+AR121</f>
        <v>84</v>
      </c>
      <c r="BF120" s="60">
        <f>AV120+AZ120</f>
        <v>0</v>
      </c>
      <c r="BG120" s="66">
        <f>AW120+BA120</f>
        <v>4</v>
      </c>
      <c r="BH120" s="60">
        <f>IF(AV120&gt;AW120,1,0)+IF(AZ120&gt;BA120,1,0)</f>
        <v>0</v>
      </c>
      <c r="BI120" s="67">
        <f>IF(AW120&gt;AV120,1,0)+IF(BA120&gt;AZ120,1,0)</f>
        <v>2</v>
      </c>
      <c r="BJ120" s="68">
        <f>IF(BH120+BI120=0,"",IF(BK120=MAX(BK119:BK121),1,IF(BK120=MIN(BK119:BK121),3,2)))</f>
        <v>3</v>
      </c>
      <c r="BK120" s="13">
        <f>IF(BH120+BI120&lt;&gt;0,BH120-BI120+(BF120-BG120)/100+(BD120-BE120)/10000,-2)</f>
        <v>-2.0472</v>
      </c>
    </row>
    <row r="121" spans="1:63" ht="11.25" customHeight="1" thickBot="1">
      <c r="A121" s="12">
        <f>S121</f>
        <v>31</v>
      </c>
      <c r="B121" s="2" t="str">
        <f>IF(N117="","",N117)</f>
        <v>R0013</v>
      </c>
      <c r="C121" s="2">
        <f>IF(N118="","",N118)</f>
      </c>
      <c r="D121" s="2" t="str">
        <f>IF(N120="","",N120)</f>
        <v>G0016</v>
      </c>
      <c r="E121" s="2">
        <f>IF(N121="","",N121)</f>
      </c>
      <c r="I121" s="2" t="str">
        <f>"3"&amp;O115&amp;N116</f>
        <v>32Kobiet</v>
      </c>
      <c r="J121" s="29" t="str">
        <f>IF(AC122="","",IF(AC116=3,N117,IF(AC119=3,N120,IF(AC122=3,N123,""))))</f>
        <v>G0016</v>
      </c>
      <c r="K121" s="29">
        <f>IF(AC122="","",IF(AC116=3,N118,IF(AC119=3,N121,IF(AC122=3,N124,""))))</f>
        <v>0</v>
      </c>
      <c r="M121" s="39" t="str">
        <f>N116</f>
        <v>Kobiet</v>
      </c>
      <c r="N121" s="35"/>
      <c r="O121" s="23"/>
      <c r="P121" s="23"/>
      <c r="Q121" s="40">
        <f>IF(AT121&gt;0,"",IF(A121=0,"",IF(VLOOKUP(A121,'[1]plan gier'!A:S,19,FALSE)="","",VLOOKUP(A121,'[1]plan gier'!A:S,19,FALSE))))</f>
      </c>
      <c r="R121" s="69" t="s">
        <v>18</v>
      </c>
      <c r="S121" s="42">
        <v>31</v>
      </c>
      <c r="T121" s="261"/>
      <c r="U121" s="273">
        <f>IF(N121&lt;&gt;"",CONCATENATE(VLOOKUP(N121,'[1]zawodnicy'!$A:$E,1,FALSE)," ",VLOOKUP(N121,'[1]zawodnicy'!$A:$E,2,FALSE)," ",VLOOKUP(N121,'[1]zawodnicy'!$A:$E,3,FALSE)," - ",VLOOKUP(N121,'[1]zawodnicy'!$A:$E,4,FALSE)),"")</f>
      </c>
      <c r="V121" s="274"/>
      <c r="W121" s="70">
        <f>IF(SUM(AR121:AS121)=0,"",AS121&amp;":"&amp;AR121)</f>
      </c>
      <c r="X121" s="59"/>
      <c r="Y121" s="37">
        <f>IF(SUM(AR120:AS120)=0,"",AR120&amp;":"&amp;AS120)</f>
      </c>
      <c r="Z121" s="261"/>
      <c r="AA121" s="266"/>
      <c r="AB121" s="266"/>
      <c r="AC121" s="269"/>
      <c r="AD121" s="2"/>
      <c r="AE121" s="22"/>
      <c r="AF121" s="22"/>
      <c r="AG121" s="69" t="s">
        <v>18</v>
      </c>
      <c r="AH121" s="71">
        <f>IF(ISBLANK(S121),"",VLOOKUP(S121,'[1]plan gier'!$X:$AN,12,FALSE))</f>
        <v>21</v>
      </c>
      <c r="AI121" s="72">
        <f>IF(ISBLANK(S121),"",VLOOKUP(S121,'[1]plan gier'!$X:$AN,13,FALSE))</f>
        <v>4</v>
      </c>
      <c r="AJ121" s="72">
        <f>IF(ISBLANK(S121),"",VLOOKUP(S121,'[1]plan gier'!$X:$AN,14,FALSE))</f>
        <v>21</v>
      </c>
      <c r="AK121" s="72">
        <f>IF(ISBLANK(S121),"",VLOOKUP(S121,'[1]plan gier'!$X:$AN,15,FALSE))</f>
        <v>2</v>
      </c>
      <c r="AL121" s="72">
        <f>IF(ISBLANK(S121),"",VLOOKUP(S121,'[1]plan gier'!$X:$AN,16,FALSE))</f>
        <v>0</v>
      </c>
      <c r="AM121" s="72">
        <f>IF(ISBLANK(S121),"",VLOOKUP(S121,'[1]plan gier'!$X:$AN,17,FALSE))</f>
        <v>0</v>
      </c>
      <c r="AN121" s="73">
        <f t="shared" si="6"/>
        <v>21</v>
      </c>
      <c r="AO121" s="72">
        <f t="shared" si="6"/>
        <v>4</v>
      </c>
      <c r="AP121" s="74">
        <f t="shared" si="6"/>
        <v>21</v>
      </c>
      <c r="AQ121" s="72">
        <f t="shared" si="6"/>
        <v>2</v>
      </c>
      <c r="AR121" s="74">
        <f t="shared" si="6"/>
        <v>0</v>
      </c>
      <c r="AS121" s="72">
        <f t="shared" si="6"/>
        <v>0</v>
      </c>
      <c r="AT121" s="51">
        <f>SUM(AN121:AS121)</f>
        <v>48</v>
      </c>
      <c r="AU121" s="52">
        <v>3</v>
      </c>
      <c r="AV121" s="71">
        <f>IF(AH119&lt;AI119,1,0)+IF(AJ119&lt;AK119,1,0)+IF(AL119&lt;AM119,1,0)</f>
        <v>0</v>
      </c>
      <c r="AW121" s="72">
        <f>AZ119</f>
        <v>2</v>
      </c>
      <c r="AX121" s="72">
        <f>IF(AH120&lt;AI120,1,0)+IF(AJ120&lt;AK120,1,0)+IF(AL120&lt;AM120,1,0)</f>
        <v>2</v>
      </c>
      <c r="AY121" s="72">
        <f>AZ120</f>
        <v>0</v>
      </c>
      <c r="AZ121" s="75"/>
      <c r="BA121" s="76"/>
      <c r="BD121" s="71">
        <f>AO119+AQ119+AS119+AO120+AQ120+AS120</f>
        <v>55</v>
      </c>
      <c r="BE121" s="77">
        <f>AN119+AP119+AR119+AN120+AP120+AR120</f>
        <v>48</v>
      </c>
      <c r="BF121" s="71">
        <f>AV121+AX121</f>
        <v>2</v>
      </c>
      <c r="BG121" s="77">
        <f>AW121+AY121</f>
        <v>2</v>
      </c>
      <c r="BH121" s="71">
        <f>IF(AV121&gt;AW121,1,0)+IF(AX121&gt;AY121,1,0)</f>
        <v>1</v>
      </c>
      <c r="BI121" s="78">
        <f>IF(AW121&gt;AV121,1,0)+IF(AY121&gt;AX121,1,0)</f>
        <v>1</v>
      </c>
      <c r="BJ121" s="79">
        <f>IF(BH121+BI121=0,"",IF(BK121=MAX(BK119:BK121),1,IF(BK121=MIN(BK119:BK121),3,2)))</f>
        <v>2</v>
      </c>
      <c r="BK121" s="13">
        <f>IF(BH121+BI121&lt;&gt;0,BH121-BI121+(BF121-BG121)/100+(BD121-BE121)/10000,-2)</f>
        <v>0.0007</v>
      </c>
    </row>
    <row r="122" spans="1:59" ht="11.25" customHeight="1">
      <c r="A122" s="2"/>
      <c r="J122" s="23"/>
      <c r="K122" s="23"/>
      <c r="L122" s="23"/>
      <c r="O122" s="23"/>
      <c r="P122" s="23"/>
      <c r="Q122" s="2"/>
      <c r="R122" s="2"/>
      <c r="S122" s="2"/>
      <c r="T122" s="279">
        <v>3</v>
      </c>
      <c r="U122" s="280">
        <f>IF(AND(N123&lt;&gt;"",N124&lt;&gt;""),CONCATENATE(VLOOKUP(N123,'[1]zawodnicy'!$A:$E,1,FALSE)," ",VLOOKUP(N123,'[1]zawodnicy'!$A:$E,2,FALSE)," ",VLOOKUP(N123,'[1]zawodnicy'!$A:$E,3,FALSE)," - ",VLOOKUP(N123,'[1]zawodnicy'!$A:$E,4,FALSE)),"")</f>
      </c>
      <c r="V122" s="281"/>
      <c r="W122" s="43" t="str">
        <f>IF(SUM(AN119:AO119)=0,"",AO119&amp;":"&amp;AN119)</f>
        <v>9:21</v>
      </c>
      <c r="X122" s="80" t="str">
        <f>IF(SUM(AN120:AO120)=0,"",AO120&amp;":"&amp;AN120)</f>
        <v>21:2</v>
      </c>
      <c r="Y122" s="81"/>
      <c r="Z122" s="279" t="str">
        <f>IF(SUM(AV121:AY121)=0,"",BD121&amp;":"&amp;BE121)</f>
        <v>55:48</v>
      </c>
      <c r="AA122" s="282" t="str">
        <f>IF(SUM(AV121:AY121)=0,"",BF121&amp;":"&amp;BG121)</f>
        <v>2:2</v>
      </c>
      <c r="AB122" s="282" t="str">
        <f>IF(SUM(AV121:AY121)=0,"",BH121&amp;":"&amp;BI121)</f>
        <v>1:1</v>
      </c>
      <c r="AC122" s="283">
        <f>IF(SUM(BH119:BH121)&gt;0,BJ121,"")</f>
        <v>2</v>
      </c>
      <c r="AD122" s="2"/>
      <c r="AE122" s="22"/>
      <c r="AF122" s="22"/>
      <c r="BD122" s="12">
        <f>SUM(BD119:BD121)</f>
        <v>151</v>
      </c>
      <c r="BE122" s="12">
        <f>SUM(BE119:BE121)</f>
        <v>151</v>
      </c>
      <c r="BF122" s="12">
        <f>SUM(BF119:BF121)</f>
        <v>6</v>
      </c>
      <c r="BG122" s="12">
        <f>SUM(BG119:BG121)</f>
        <v>6</v>
      </c>
    </row>
    <row r="123" spans="1:63" ht="11.25" customHeight="1">
      <c r="A123" s="12"/>
      <c r="J123" s="12"/>
      <c r="K123" s="12"/>
      <c r="L123" s="12"/>
      <c r="N123" s="30" t="s">
        <v>51</v>
      </c>
      <c r="O123" s="31">
        <f>IF(O115&gt;0,(O115&amp;3)*1,"")</f>
        <v>23</v>
      </c>
      <c r="Q123" s="82"/>
      <c r="R123" s="82"/>
      <c r="S123" s="42"/>
      <c r="T123" s="260"/>
      <c r="U123" s="271" t="str">
        <f>IF(AND(N123&lt;&gt;"",N124=""),CONCATENATE(VLOOKUP(N123,'[1]zawodnicy'!$A:$E,1,FALSE)," ",VLOOKUP(N123,'[1]zawodnicy'!$A:$E,2,FALSE)," ",VLOOKUP(N123,'[1]zawodnicy'!$A:$E,3,FALSE)," - ",VLOOKUP(N123,'[1]zawodnicy'!$A:$E,4,FALSE)),"")</f>
        <v>D0008 Patrycja DOMAŃSKA - Rzeszów</v>
      </c>
      <c r="V123" s="272"/>
      <c r="W123" s="58" t="str">
        <f>IF(SUM(AP119:AQ119)=0,"",AQ119&amp;":"&amp;AP119)</f>
        <v>4:21</v>
      </c>
      <c r="X123" s="33" t="str">
        <f>IF(SUM(AP120:AQ120)=0,"",AQ120&amp;":"&amp;AP120)</f>
        <v>21:4</v>
      </c>
      <c r="Y123" s="83"/>
      <c r="Z123" s="260"/>
      <c r="AA123" s="265"/>
      <c r="AB123" s="265"/>
      <c r="AC123" s="268"/>
      <c r="AD123" s="2"/>
      <c r="AE123" s="22"/>
      <c r="AF123" s="2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1:63" ht="11.25" customHeight="1" thickBot="1">
      <c r="A124" s="2"/>
      <c r="J124" s="23"/>
      <c r="K124" s="23"/>
      <c r="L124" s="23"/>
      <c r="N124" s="35"/>
      <c r="O124" s="23"/>
      <c r="P124" s="23"/>
      <c r="Q124" s="2"/>
      <c r="R124" s="2"/>
      <c r="S124" s="2"/>
      <c r="T124" s="284"/>
      <c r="U124" s="287">
        <f>IF(N124&lt;&gt;"",CONCATENATE(VLOOKUP(N124,'[1]zawodnicy'!$A:$E,1,FALSE)," ",VLOOKUP(N124,'[1]zawodnicy'!$A:$E,2,FALSE)," ",VLOOKUP(N124,'[1]zawodnicy'!$A:$E,3,FALSE)," - ",VLOOKUP(N124,'[1]zawodnicy'!$A:$E,4,FALSE)),"")</f>
      </c>
      <c r="V124" s="288"/>
      <c r="W124" s="84">
        <f>IF(SUM(AR119:AS119)=0,"",AS119&amp;":"&amp;AR119)</f>
      </c>
      <c r="X124" s="85">
        <f>IF(SUM(AR120:AS120)=0,"",AS120&amp;":"&amp;AR120)</f>
      </c>
      <c r="Y124" s="86"/>
      <c r="Z124" s="284"/>
      <c r="AA124" s="285"/>
      <c r="AB124" s="285"/>
      <c r="AC124" s="286"/>
      <c r="AD124" s="29"/>
      <c r="AE124" s="22"/>
      <c r="AF124" s="2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ht="11.25" customHeight="1"/>
    <row r="126" ht="11.25" customHeight="1"/>
    <row r="127" ht="11.25" customHeight="1"/>
    <row r="128" spans="10:63" ht="11.25" customHeight="1">
      <c r="J128" s="2"/>
      <c r="K128" s="2"/>
      <c r="L128" s="2"/>
      <c r="M128" s="115"/>
      <c r="N128" s="120">
        <v>1</v>
      </c>
      <c r="O128" s="89"/>
      <c r="P128" s="89"/>
      <c r="Q128" s="1"/>
      <c r="R128" s="1"/>
      <c r="S128" s="304" t="s">
        <v>52</v>
      </c>
      <c r="T128" s="304"/>
      <c r="U128" s="304"/>
      <c r="V128" s="304"/>
      <c r="W128" s="304"/>
      <c r="X128" s="304"/>
      <c r="Y128" s="304"/>
      <c r="Z128" s="304"/>
      <c r="AA128" s="304"/>
      <c r="AB128" s="304"/>
      <c r="AC128" s="101"/>
      <c r="AD128" s="101"/>
      <c r="AE128" s="10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10:63" ht="11.25" customHeight="1">
      <c r="J129" s="2"/>
      <c r="K129" s="2"/>
      <c r="L129" s="2"/>
      <c r="N129" s="121" t="s">
        <v>45</v>
      </c>
      <c r="P129" s="89"/>
      <c r="Q129" s="1"/>
      <c r="R129" s="1"/>
      <c r="S129" s="1"/>
      <c r="T129" s="90"/>
      <c r="U129" s="91"/>
      <c r="V129" s="91"/>
      <c r="W129" s="91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1:63" ht="11.25" customHeight="1">
      <c r="A130" s="92">
        <f>V130</f>
        <v>33</v>
      </c>
      <c r="B130" s="2" t="str">
        <f>IF(S130="","",S130)</f>
        <v>M0027</v>
      </c>
      <c r="D130" s="2" t="str">
        <f>IF(S131="","",S131)</f>
        <v>R0013</v>
      </c>
      <c r="F130" s="2" t="str">
        <f>IF(A130=0,IF(AND(LEN(B130)&gt;0,LEN(D130)=0),VLOOKUP(B130,'[1]zawodnicy'!$A:$E,1,FALSE),IF(AND(LEN(D130)&gt;0,LEN(B130)=0),VLOOKUP(D130,'[1]zawodnicy'!$A:$E,1,FALSE),"")),IF((VLOOKUP(A130,'[1]plan gier'!$X:$AF,7,FALSE))="","",VLOOKUP(VLOOKUP(A130,'[1]plan gier'!$X:$AF,7,FALSE),'[1]zawodnicy'!$A:$E,1,FALSE)))</f>
        <v>R0013</v>
      </c>
      <c r="H130" s="2" t="str">
        <f>IF(A130=0,"",IF((VLOOKUP(A130,'[1]plan gier'!$X:$AF,7,FALSE))="","",VLOOKUP(A130,'[1]plan gier'!$X:$AF,9,FALSE)))</f>
        <v>21:17,21:11</v>
      </c>
      <c r="J130" s="93"/>
      <c r="K130" s="93"/>
      <c r="L130" s="117" t="str">
        <f>IF(A130=0,"",IF(VLOOKUP(A130,'[1]plan gier'!A:S,19,FALSE)="","",VLOOKUP(A130,'[1]plan gier'!A:S,19,FALSE)))</f>
        <v>godz.11:40</v>
      </c>
      <c r="M130" s="2" t="str">
        <f>N129</f>
        <v>Kobiet</v>
      </c>
      <c r="N130" s="118"/>
      <c r="O130" s="122">
        <v>1</v>
      </c>
      <c r="P130" s="94"/>
      <c r="Q130" s="87">
        <f>O130</f>
        <v>1</v>
      </c>
      <c r="S130" s="305" t="str">
        <f>UPPER(IF(O130="","",IF(ISTEXT(N130),N130,IF(AND(N128&gt;0,O130&gt;0),VLOOKUP(N128&amp;O130&amp;N129,I:J,2,FALSE),""))))</f>
        <v>M0027</v>
      </c>
      <c r="T130" s="306"/>
      <c r="U130" s="107" t="str">
        <f>IF(S130&lt;&gt;"",CONCATENATE(VLOOKUP(S130,'[1]zawodnicy'!$A:$E,2,FALSE)," ",VLOOKUP(S130,'[1]zawodnicy'!$A:$E,3,FALSE)," - ",VLOOKUP(S130,'[1]zawodnicy'!$A:$E,4,FALSE)),"")</f>
        <v>Beata MYCEK - Nowa Dęba</v>
      </c>
      <c r="V130" s="108">
        <v>33</v>
      </c>
      <c r="W130" s="297" t="str">
        <f>IF(F130="","",VLOOKUP(F130,'[1]zawodnicy'!$A:$D,3,FALSE))</f>
        <v>RÓG</v>
      </c>
      <c r="X130" s="298"/>
      <c r="Y130" s="298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0:63" ht="11.25" customHeight="1">
      <c r="J131" s="93"/>
      <c r="K131" s="93"/>
      <c r="L131" s="93"/>
      <c r="N131" s="118"/>
      <c r="O131" s="123">
        <v>2</v>
      </c>
      <c r="P131" s="94"/>
      <c r="Q131" s="87">
        <f>O131</f>
        <v>2</v>
      </c>
      <c r="S131" s="305" t="str">
        <f>UPPER(IF(O131="","",IF(ISTEXT(N131),N131,IF(AND(N128&gt;0,O131&gt;0),VLOOKUP(N128&amp;O131&amp;N129,I:J,2,FALSE),""))))</f>
        <v>R0013</v>
      </c>
      <c r="T131" s="306"/>
      <c r="U131" s="107" t="str">
        <f>IF(S131&lt;&gt;"",CONCATENATE(VLOOKUP(S131,'[1]zawodnicy'!$A:$E,2,FALSE)," ",VLOOKUP(S131,'[1]zawodnicy'!$A:$E,3,FALSE)," - ",VLOOKUP(S131,'[1]zawodnicy'!$A:$E,4,FALSE)),"")</f>
        <v>Natalia RÓG - Nowa Dęba</v>
      </c>
      <c r="V131" s="109"/>
      <c r="W131" s="299" t="str">
        <f>IF(H130="",L130,H130)</f>
        <v>21:17,21:11</v>
      </c>
      <c r="X131" s="300"/>
      <c r="Y131" s="300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ht="11.25" customHeight="1"/>
    <row r="133" ht="11.25" customHeight="1"/>
    <row r="134" spans="10:63" ht="11.25" customHeight="1">
      <c r="J134" s="2"/>
      <c r="K134" s="2"/>
      <c r="L134" s="2"/>
      <c r="M134" s="115"/>
      <c r="N134" s="120">
        <v>2</v>
      </c>
      <c r="O134" s="89"/>
      <c r="P134" s="89"/>
      <c r="Q134" s="1"/>
      <c r="R134" s="1"/>
      <c r="S134" s="304" t="s">
        <v>53</v>
      </c>
      <c r="T134" s="304"/>
      <c r="U134" s="304"/>
      <c r="V134" s="304"/>
      <c r="W134" s="304"/>
      <c r="X134" s="304"/>
      <c r="Y134" s="304"/>
      <c r="Z134" s="304"/>
      <c r="AA134" s="304"/>
      <c r="AB134" s="304"/>
      <c r="AC134" s="101"/>
      <c r="AD134" s="101"/>
      <c r="AE134" s="10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0:63" ht="11.25" customHeight="1">
      <c r="J135" s="2"/>
      <c r="K135" s="2"/>
      <c r="L135" s="2"/>
      <c r="N135" s="121" t="s">
        <v>45</v>
      </c>
      <c r="P135" s="89"/>
      <c r="Q135" s="1"/>
      <c r="R135" s="1"/>
      <c r="S135" s="1"/>
      <c r="T135" s="90"/>
      <c r="U135" s="91"/>
      <c r="V135" s="91"/>
      <c r="W135" s="91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ht="11.25" customHeight="1">
      <c r="A136" s="92">
        <f>V136</f>
        <v>32</v>
      </c>
      <c r="B136" s="2" t="str">
        <f>IF(S136="","",S136)</f>
        <v>N0005</v>
      </c>
      <c r="D136" s="2" t="str">
        <f>IF(S137="","",S137)</f>
        <v>D0008</v>
      </c>
      <c r="F136" s="2" t="str">
        <f>IF(A136=0,IF(AND(LEN(B136)&gt;0,LEN(D136)=0),VLOOKUP(B136,'[1]zawodnicy'!$A:$E,1,FALSE),IF(AND(LEN(D136)&gt;0,LEN(B136)=0),VLOOKUP(D136,'[1]zawodnicy'!$A:$E,1,FALSE),"")),IF((VLOOKUP(A136,'[1]plan gier'!$X:$AF,7,FALSE))="","",VLOOKUP(VLOOKUP(A136,'[1]plan gier'!$X:$AF,7,FALSE),'[1]zawodnicy'!$A:$E,1,FALSE)))</f>
        <v>D0008</v>
      </c>
      <c r="H136" s="2" t="str">
        <f>IF(A136=0,"",IF((VLOOKUP(A136,'[1]plan gier'!$X:$AF,7,FALSE))="","",VLOOKUP(A136,'[1]plan gier'!$X:$AF,9,FALSE)))</f>
        <v>21:17,21:11</v>
      </c>
      <c r="J136" s="93"/>
      <c r="K136" s="93"/>
      <c r="L136" s="117" t="str">
        <f>IF(A136=0,"",IF(VLOOKUP(A136,'[1]plan gier'!A:S,19,FALSE)="","",VLOOKUP(A136,'[1]plan gier'!A:S,19,FALSE)))</f>
        <v>godz.11:20</v>
      </c>
      <c r="M136" s="2" t="str">
        <f>N135</f>
        <v>Kobiet</v>
      </c>
      <c r="N136" s="118"/>
      <c r="O136" s="122">
        <v>1</v>
      </c>
      <c r="P136" s="94"/>
      <c r="Q136" s="87">
        <f>O136</f>
        <v>1</v>
      </c>
      <c r="S136" s="305" t="str">
        <f>UPPER(IF(O136="","",IF(ISTEXT(N136),N136,IF(AND(N134&gt;0,O136&gt;0),VLOOKUP(N134&amp;O136&amp;N135,I:J,2,FALSE),""))))</f>
        <v>N0005</v>
      </c>
      <c r="T136" s="306"/>
      <c r="U136" s="107" t="str">
        <f>IF(S136&lt;&gt;"",CONCATENATE(VLOOKUP(S136,'[1]zawodnicy'!$A:$E,2,FALSE)," ",VLOOKUP(S136,'[1]zawodnicy'!$A:$E,3,FALSE)," - ",VLOOKUP(S136,'[1]zawodnicy'!$A:$E,4,FALSE)),"")</f>
        <v>Izabela NOWAK - Mielec</v>
      </c>
      <c r="V136" s="108">
        <v>32</v>
      </c>
      <c r="W136" s="297" t="str">
        <f>IF(F136="","",VLOOKUP(F136,'[1]zawodnicy'!$A:$D,3,FALSE))</f>
        <v>DOMAŃSKA</v>
      </c>
      <c r="X136" s="298"/>
      <c r="Y136" s="298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0:63" ht="11.25" customHeight="1">
      <c r="J137" s="93"/>
      <c r="K137" s="93"/>
      <c r="L137" s="93"/>
      <c r="N137" s="118"/>
      <c r="O137" s="123">
        <v>2</v>
      </c>
      <c r="P137" s="94"/>
      <c r="Q137" s="87">
        <f>O137</f>
        <v>2</v>
      </c>
      <c r="S137" s="305" t="str">
        <f>UPPER(IF(O137="","",IF(ISTEXT(N137),N137,IF(AND(N134&gt;0,O137&gt;0),VLOOKUP(N134&amp;O137&amp;N135,I:J,2,FALSE),""))))</f>
        <v>D0008</v>
      </c>
      <c r="T137" s="306"/>
      <c r="U137" s="107" t="str">
        <f>IF(S137&lt;&gt;"",CONCATENATE(VLOOKUP(S137,'[1]zawodnicy'!$A:$E,2,FALSE)," ",VLOOKUP(S137,'[1]zawodnicy'!$A:$E,3,FALSE)," - ",VLOOKUP(S137,'[1]zawodnicy'!$A:$E,4,FALSE)),"")</f>
        <v>Patrycja DOMAŃSKA - Rzeszów</v>
      </c>
      <c r="V137" s="109"/>
      <c r="W137" s="299" t="str">
        <f>IF(H136="",L136,H136)</f>
        <v>21:17,21:11</v>
      </c>
      <c r="X137" s="300"/>
      <c r="Y137" s="300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ht="11.25" customHeight="1"/>
    <row r="139" spans="10:63" ht="11.25" customHeight="1">
      <c r="J139" s="2"/>
      <c r="K139" s="2"/>
      <c r="L139" s="2"/>
      <c r="M139" s="115"/>
      <c r="N139" s="120">
        <v>3</v>
      </c>
      <c r="O139" s="89"/>
      <c r="P139" s="89"/>
      <c r="Q139" s="1"/>
      <c r="R139" s="1"/>
      <c r="S139" s="304" t="s">
        <v>54</v>
      </c>
      <c r="T139" s="304"/>
      <c r="U139" s="304"/>
      <c r="V139" s="304"/>
      <c r="W139" s="304"/>
      <c r="X139" s="304"/>
      <c r="Y139" s="304"/>
      <c r="Z139" s="304"/>
      <c r="AA139" s="304"/>
      <c r="AB139" s="304"/>
      <c r="AC139" s="101"/>
      <c r="AD139" s="101"/>
      <c r="AE139" s="101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10:63" ht="11.25" customHeight="1">
      <c r="J140" s="2"/>
      <c r="K140" s="2"/>
      <c r="L140" s="2"/>
      <c r="N140" s="121" t="s">
        <v>45</v>
      </c>
      <c r="P140" s="89"/>
      <c r="Q140" s="1"/>
      <c r="R140" s="1"/>
      <c r="S140" s="1"/>
      <c r="T140" s="90"/>
      <c r="U140" s="91"/>
      <c r="V140" s="91"/>
      <c r="W140" s="91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:63" ht="11.25" customHeight="1">
      <c r="A141" s="92">
        <f>V141</f>
        <v>58</v>
      </c>
      <c r="B141" s="2" t="str">
        <f>IF(S141="","",S141)</f>
        <v>R0016</v>
      </c>
      <c r="D141" s="2" t="str">
        <f>IF(S142="","",S142)</f>
        <v>G0016</v>
      </c>
      <c r="F141" s="2" t="str">
        <f>IF(A141=0,IF(AND(LEN(B141)&gt;0,LEN(D141)=0),VLOOKUP(B141,'[1]zawodnicy'!$A:$E,1,FALSE),IF(AND(LEN(D141)&gt;0,LEN(B141)=0),VLOOKUP(D141,'[1]zawodnicy'!$A:$E,1,FALSE),"")),IF((VLOOKUP(A141,'[1]plan gier'!$X:$AF,7,FALSE))="","",VLOOKUP(VLOOKUP(A141,'[1]plan gier'!$X:$AF,7,FALSE),'[1]zawodnicy'!$A:$E,1,FALSE)))</f>
        <v>R0016</v>
      </c>
      <c r="H141" s="2" t="str">
        <f>IF(A141=0,"",IF((VLOOKUP(A141,'[1]plan gier'!$X:$AF,7,FALSE))="","",VLOOKUP(A141,'[1]plan gier'!$X:$AF,9,FALSE)))</f>
        <v>21:17,21:7</v>
      </c>
      <c r="J141" s="93"/>
      <c r="K141" s="93"/>
      <c r="L141" s="117" t="str">
        <f>IF(A141=0,"",IF(VLOOKUP(A141,'[1]plan gier'!A:S,19,FALSE)="","",VLOOKUP(A141,'[1]plan gier'!A:S,19,FALSE)))</f>
        <v>godz.13:40</v>
      </c>
      <c r="M141" s="2" t="str">
        <f>N140</f>
        <v>Kobiet</v>
      </c>
      <c r="N141" s="118"/>
      <c r="O141" s="122">
        <v>1</v>
      </c>
      <c r="P141" s="94"/>
      <c r="Q141" s="87">
        <f>O141</f>
        <v>1</v>
      </c>
      <c r="S141" s="305" t="str">
        <f>UPPER(IF(O141="","",IF(ISTEXT(N141),N141,IF(AND(N139&gt;0,O141&gt;0),VLOOKUP(N139&amp;O141&amp;N140,I:J,2,FALSE),""))))</f>
        <v>R0016</v>
      </c>
      <c r="T141" s="306"/>
      <c r="U141" s="107" t="str">
        <f>IF(S141&lt;&gt;"",CONCATENATE(VLOOKUP(S141,'[1]zawodnicy'!$A:$E,2,FALSE)," ",VLOOKUP(S141,'[1]zawodnicy'!$A:$E,3,FALSE)," - ",VLOOKUP(S141,'[1]zawodnicy'!$A:$E,4,FALSE)),"")</f>
        <v>Oliwia RYBIŃSKA - Mielec</v>
      </c>
      <c r="V141" s="108">
        <v>58</v>
      </c>
      <c r="W141" s="297" t="str">
        <f>IF(F141="","",VLOOKUP(F141,'[1]zawodnicy'!$A:$D,3,FALSE))</f>
        <v>RYBIŃSKA</v>
      </c>
      <c r="X141" s="298"/>
      <c r="Y141" s="298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10:63" ht="11.25" customHeight="1">
      <c r="J142" s="93"/>
      <c r="K142" s="93"/>
      <c r="L142" s="93"/>
      <c r="N142" s="118"/>
      <c r="O142" s="123">
        <v>2</v>
      </c>
      <c r="P142" s="94"/>
      <c r="Q142" s="87">
        <f>O142</f>
        <v>2</v>
      </c>
      <c r="S142" s="305" t="str">
        <f>UPPER(IF(O142="","",IF(ISTEXT(N142),N142,IF(AND(N139&gt;0,O142&gt;0),VLOOKUP(N139&amp;O142&amp;N140,I:J,2,FALSE),""))))</f>
        <v>G0016</v>
      </c>
      <c r="T142" s="306"/>
      <c r="U142" s="107" t="str">
        <f>IF(S142&lt;&gt;"",CONCATENATE(VLOOKUP(S142,'[1]zawodnicy'!$A:$E,2,FALSE)," ",VLOOKUP(S142,'[1]zawodnicy'!$A:$E,3,FALSE)," - ",VLOOKUP(S142,'[1]zawodnicy'!$A:$E,4,FALSE)),"")</f>
        <v>Wiktoria GRĄDZKA - Mielec</v>
      </c>
      <c r="V142" s="109"/>
      <c r="W142" s="299" t="str">
        <f>IF(H141="",L141,H141)</f>
        <v>21:17,21:7</v>
      </c>
      <c r="X142" s="300"/>
      <c r="Y142" s="300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ht="11.25" customHeight="1"/>
    <row r="144" ht="11.25" customHeight="1"/>
    <row r="145" spans="13:31" ht="11.25" customHeight="1">
      <c r="M145" s="9"/>
      <c r="N145" s="10" t="s">
        <v>55</v>
      </c>
      <c r="Q145" s="253" t="str">
        <f>"Gra "&amp;N145</f>
        <v>Gra Old Boys</v>
      </c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</row>
    <row r="146" ht="11.25" customHeight="1" thickBot="1"/>
    <row r="147" spans="14:31" s="12" customFormat="1" ht="11.25" customHeight="1" thickBot="1">
      <c r="N147" s="124"/>
      <c r="O147" s="125"/>
      <c r="P147" s="125"/>
      <c r="Q147" s="257" t="s">
        <v>7</v>
      </c>
      <c r="R147" s="257"/>
      <c r="S147" s="308" t="s">
        <v>8</v>
      </c>
      <c r="T147" s="126"/>
      <c r="U147" s="255" t="s">
        <v>2</v>
      </c>
      <c r="V147" s="309"/>
      <c r="W147" s="128">
        <v>1</v>
      </c>
      <c r="X147" s="129">
        <v>2</v>
      </c>
      <c r="Y147" s="130">
        <v>3</v>
      </c>
      <c r="Z147" s="131">
        <v>4</v>
      </c>
      <c r="AA147" s="132">
        <v>5</v>
      </c>
      <c r="AB147" s="19" t="s">
        <v>3</v>
      </c>
      <c r="AC147" s="20" t="s">
        <v>4</v>
      </c>
      <c r="AD147" s="133" t="s">
        <v>5</v>
      </c>
      <c r="AE147" s="21" t="s">
        <v>6</v>
      </c>
    </row>
    <row r="148" spans="10:32" s="12" customFormat="1" ht="11.25" customHeight="1">
      <c r="J148" s="23"/>
      <c r="K148" s="23"/>
      <c r="L148" s="23"/>
      <c r="N148" s="24" t="s">
        <v>55</v>
      </c>
      <c r="O148" s="8"/>
      <c r="P148" s="23"/>
      <c r="Q148" s="257"/>
      <c r="R148" s="257"/>
      <c r="S148" s="308"/>
      <c r="T148" s="259">
        <v>1</v>
      </c>
      <c r="U148" s="262">
        <f>IF(AND(N149&lt;&gt;"",N150&lt;&gt;""),CONCATENATE(VLOOKUP(N149,'[1]zawodnicy'!$A:$E,1,FALSE)," ",VLOOKUP(N149,'[1]zawodnicy'!$A:$E,2,FALSE)," ",VLOOKUP(N149,'[1]zawodnicy'!$A:$E,3,FALSE)," - ",VLOOKUP(N149,'[1]zawodnicy'!$A:$E,4,FALSE)),"")</f>
      </c>
      <c r="V148" s="310"/>
      <c r="W148" s="311"/>
      <c r="X148" s="26" t="str">
        <f>IF(SUM(AO160:AP160)=0,"",AO160&amp;":"&amp;AP160)</f>
        <v>21:15</v>
      </c>
      <c r="Y148" s="134" t="str">
        <f>IF(SUM(AO153:AP153)=0,"",AO153&amp;":"&amp;AP153)</f>
        <v>21:15</v>
      </c>
      <c r="Z148" s="134" t="str">
        <f>IF(SUM(AO157:AP157)=0,"",AP157&amp;":"&amp;AO157)</f>
        <v>21:7</v>
      </c>
      <c r="AA148" s="135" t="str">
        <f>IF(SUM(AO156:AP156)=0,"",AP156&amp;":"&amp;AO156)</f>
        <v>21:6</v>
      </c>
      <c r="AB148" s="314" t="str">
        <f>IF(SUM(AX151:BE151)=0,"",BF151&amp;":"&amp;BG151)</f>
        <v>168:95</v>
      </c>
      <c r="AC148" s="264" t="str">
        <f>IF(SUM(AX151:BE151)=0,"",BH151&amp;":"&amp;BI151)</f>
        <v>8:0</v>
      </c>
      <c r="AD148" s="264" t="str">
        <f>IF(SUM(AX151:BE151)=0,"",BJ151&amp;":"&amp;BK151)</f>
        <v>4:0</v>
      </c>
      <c r="AE148" s="267">
        <f>IF(SUM(BJ151:BJ155)&gt;0,BL151,"")</f>
        <v>1</v>
      </c>
      <c r="AF148" s="136"/>
    </row>
    <row r="149" spans="14:32" s="12" customFormat="1" ht="11.25" customHeight="1" thickBot="1">
      <c r="N149" s="30" t="s">
        <v>16</v>
      </c>
      <c r="O149" s="23"/>
      <c r="P149" s="23"/>
      <c r="Q149" s="257"/>
      <c r="R149" s="257"/>
      <c r="S149" s="308"/>
      <c r="T149" s="260"/>
      <c r="U149" s="271" t="str">
        <f>IF(AND(N149&lt;&gt;"",N150=""),CONCATENATE(VLOOKUP(N149,'[1]zawodnicy'!$A:$E,1,FALSE)," ",VLOOKUP(N149,'[1]zawodnicy'!$A:$E,2,FALSE)," ",VLOOKUP(N149,'[1]zawodnicy'!$A:$E,3,FALSE)," - ",VLOOKUP(N149,'[1]zawodnicy'!$A:$E,4,FALSE)),"")</f>
        <v>B0009 Adam BUNIO - Nowa Dęba</v>
      </c>
      <c r="V149" s="317"/>
      <c r="W149" s="312"/>
      <c r="X149" s="33" t="str">
        <f>IF(SUM(AQ160:AR160)=0,"",AQ160&amp;":"&amp;AR160)</f>
        <v>21:18</v>
      </c>
      <c r="Y149" s="137" t="str">
        <f>IF(SUM(AQ153:AR153)=0,"",AQ153&amp;":"&amp;AR153)</f>
        <v>21:12</v>
      </c>
      <c r="Z149" s="137" t="str">
        <f>IF(SUM(AQ157:AR157)=0,"",AR157&amp;":"&amp;AQ157)</f>
        <v>21:6</v>
      </c>
      <c r="AA149" s="138" t="str">
        <f>IF(SUM(AQ156:AR156)=0,"",AR156&amp;":"&amp;AQ156)</f>
        <v>21:16</v>
      </c>
      <c r="AB149" s="315"/>
      <c r="AC149" s="265"/>
      <c r="AD149" s="265"/>
      <c r="AE149" s="268"/>
      <c r="AF149" s="136"/>
    </row>
    <row r="150" spans="10:64" s="12" customFormat="1" ht="11.25" customHeight="1" thickBot="1">
      <c r="J150" s="23"/>
      <c r="K150" s="23"/>
      <c r="L150" s="23"/>
      <c r="N150" s="35"/>
      <c r="O150" s="23"/>
      <c r="P150" s="23"/>
      <c r="T150" s="261"/>
      <c r="U150" s="273">
        <f>IF(N150&lt;&gt;"",CONCATENATE(VLOOKUP(N150,'[1]zawodnicy'!$A:$E,1,FALSE)," ",VLOOKUP(N150,'[1]zawodnicy'!$A:$E,2,FALSE)," ",VLOOKUP(N150,'[1]zawodnicy'!$A:$E,3,FALSE)," - ",VLOOKUP(N150,'[1]zawodnicy'!$A:$E,4,FALSE)),"")</f>
      </c>
      <c r="V150" s="318"/>
      <c r="W150" s="313"/>
      <c r="X150" s="36">
        <f>IF(SUM(AS160:AT160)=0,"",AS160&amp;":"&amp;AT160)</f>
      </c>
      <c r="Y150" s="139">
        <f>IF(SUM(AS153:AT153)=0,"",AS153&amp;":"&amp;AT153)</f>
      </c>
      <c r="Z150" s="139">
        <f>IF(SUM(AS157:AT157)=0,"",AT157&amp;":"&amp;AS157)</f>
      </c>
      <c r="AA150" s="140">
        <f>IF(SUM(AS156:AT156)=0,"",AT156&amp;":"&amp;AS156)</f>
      </c>
      <c r="AB150" s="316"/>
      <c r="AC150" s="266"/>
      <c r="AD150" s="266"/>
      <c r="AE150" s="269"/>
      <c r="AF150" s="136"/>
      <c r="AG150" s="136"/>
      <c r="AH150" s="319" t="s">
        <v>12</v>
      </c>
      <c r="AI150" s="320"/>
      <c r="AJ150" s="321" t="s">
        <v>13</v>
      </c>
      <c r="AK150" s="320"/>
      <c r="AL150" s="321" t="s">
        <v>14</v>
      </c>
      <c r="AM150" s="322"/>
      <c r="AN150" s="136"/>
      <c r="AO150" s="323" t="s">
        <v>12</v>
      </c>
      <c r="AP150" s="324"/>
      <c r="AQ150" s="324" t="s">
        <v>13</v>
      </c>
      <c r="AR150" s="324"/>
      <c r="AS150" s="324" t="s">
        <v>14</v>
      </c>
      <c r="AT150" s="325"/>
      <c r="AU150" s="136"/>
      <c r="AV150" s="326">
        <v>1</v>
      </c>
      <c r="AW150" s="327"/>
      <c r="AX150" s="327">
        <v>2</v>
      </c>
      <c r="AY150" s="327"/>
      <c r="AZ150" s="327">
        <v>3</v>
      </c>
      <c r="BA150" s="327"/>
      <c r="BB150" s="327">
        <v>4</v>
      </c>
      <c r="BC150" s="328"/>
      <c r="BD150" s="329">
        <v>5</v>
      </c>
      <c r="BE150" s="330"/>
      <c r="BF150" s="326" t="s">
        <v>3</v>
      </c>
      <c r="BG150" s="331"/>
      <c r="BH150" s="326" t="s">
        <v>4</v>
      </c>
      <c r="BI150" s="331"/>
      <c r="BJ150" s="326" t="s">
        <v>5</v>
      </c>
      <c r="BK150" s="328"/>
      <c r="BL150" s="141" t="s">
        <v>6</v>
      </c>
    </row>
    <row r="151" spans="1:71" s="12" customFormat="1" ht="11.25" customHeight="1">
      <c r="A151" s="12">
        <f aca="true" t="shared" si="7" ref="A151:A161">S151</f>
        <v>34</v>
      </c>
      <c r="B151" s="12" t="str">
        <f>IF(N152="","",N152)</f>
        <v>K0003</v>
      </c>
      <c r="C151" s="12">
        <f>IF(N153="","",N153)</f>
      </c>
      <c r="D151" s="12" t="str">
        <f>IF(N161="","",N161)</f>
        <v>K0040</v>
      </c>
      <c r="E151" s="12">
        <f>IF(N162="","",N162)</f>
      </c>
      <c r="J151" s="23"/>
      <c r="K151" s="23"/>
      <c r="M151" s="12" t="str">
        <f>N148</f>
        <v>Old Boys</v>
      </c>
      <c r="N151" s="28"/>
      <c r="O151" s="23"/>
      <c r="P151" s="23"/>
      <c r="Q151" s="40">
        <f>IF(AN151&gt;0,"",IF(A151=0,"",IF(VLOOKUP(A151,'[1]plan gier'!A:S,19,FALSE)="","",VLOOKUP(A151,'[1]plan gier'!A:S,19,FALSE))))</f>
      </c>
      <c r="R151" s="142" t="s">
        <v>56</v>
      </c>
      <c r="S151" s="42">
        <v>34</v>
      </c>
      <c r="T151" s="279">
        <v>2</v>
      </c>
      <c r="U151" s="280">
        <f>IF(AND(N152&lt;&gt;"",N153&lt;&gt;""),CONCATENATE(VLOOKUP(N152,'[1]zawodnicy'!$A:$E,1,FALSE)," ",VLOOKUP(N152,'[1]zawodnicy'!$A:$E,2,FALSE)," ",VLOOKUP(N152,'[1]zawodnicy'!$A:$E,3,FALSE)," - ",VLOOKUP(N152,'[1]zawodnicy'!$A:$E,4,FALSE)),"")</f>
      </c>
      <c r="V151" s="332"/>
      <c r="W151" s="143" t="str">
        <f>IF(SUM(AO160:AP160)=0,"",AP160&amp;":"&amp;AO160)</f>
        <v>15:21</v>
      </c>
      <c r="X151" s="333"/>
      <c r="Y151" s="144" t="str">
        <f>IF(SUM(AO158:AP158)=0,"",AO158&amp;":"&amp;AP158)</f>
        <v>17:21</v>
      </c>
      <c r="Z151" s="144" t="str">
        <f>IF(SUM(AO155:AP155)=0,"",AP155&amp;":"&amp;AO155)</f>
        <v>15:21</v>
      </c>
      <c r="AA151" s="145" t="str">
        <f>IF(SUM(AO151:AP151)=0,"",AO151&amp;":"&amp;AP151)</f>
        <v>16:21</v>
      </c>
      <c r="AB151" s="336" t="str">
        <f>IF(SUM(AV152:AW152,AZ152:BE152)=0,"",BF152&amp;":"&amp;BG152)</f>
        <v>152:184</v>
      </c>
      <c r="AC151" s="282" t="str">
        <f>IF(SUM(AV152:AW152,AZ152:BE152)=0,"",BH152&amp;":"&amp;BI152)</f>
        <v>1:8</v>
      </c>
      <c r="AD151" s="282" t="str">
        <f>IF(SUM(AV152:AW152,AZ152:BE152)=0,"",BJ152&amp;":"&amp;BK152)</f>
        <v>0:4</v>
      </c>
      <c r="AE151" s="283">
        <f>IF(SUM(BJ151:BJ155)&gt;0,BL152,"")</f>
        <v>5</v>
      </c>
      <c r="AF151" s="136"/>
      <c r="AG151" s="146" t="s">
        <v>56</v>
      </c>
      <c r="AH151" s="147">
        <f>IF(ISBLANK(S151),"",VLOOKUP(S151,'[1]plan gier'!$X:$AN,12,FALSE))</f>
        <v>16</v>
      </c>
      <c r="AI151" s="148">
        <f>IF(ISBLANK(S151),"",VLOOKUP(S151,'[1]plan gier'!$X:$AN,13,FALSE))</f>
        <v>21</v>
      </c>
      <c r="AJ151" s="148">
        <f>IF(ISBLANK(S151),"",VLOOKUP(S151,'[1]plan gier'!$X:$AN,14,FALSE))</f>
        <v>21</v>
      </c>
      <c r="AK151" s="148">
        <f>IF(ISBLANK(S151),"",VLOOKUP(S151,'[1]plan gier'!$X:$AN,15,FALSE))</f>
        <v>16</v>
      </c>
      <c r="AL151" s="148">
        <f>IF(ISBLANK(S151),"",VLOOKUP(S151,'[1]plan gier'!$X:$AN,16,FALSE))</f>
        <v>19</v>
      </c>
      <c r="AM151" s="149">
        <f>IF(ISBLANK(S151),"",VLOOKUP(S151,'[1]plan gier'!$X:$AN,17,FALSE))</f>
        <v>21</v>
      </c>
      <c r="AN151" s="150">
        <f aca="true" t="shared" si="8" ref="AN151:AN160">SUM(AO151:AT151)</f>
        <v>114</v>
      </c>
      <c r="AO151" s="151">
        <f aca="true" t="shared" si="9" ref="AO151:AT160">IF(AH151="",0,AH151)</f>
        <v>16</v>
      </c>
      <c r="AP151" s="148">
        <f t="shared" si="9"/>
        <v>21</v>
      </c>
      <c r="AQ151" s="152">
        <f t="shared" si="9"/>
        <v>21</v>
      </c>
      <c r="AR151" s="148">
        <f t="shared" si="9"/>
        <v>16</v>
      </c>
      <c r="AS151" s="152">
        <f t="shared" si="9"/>
        <v>19</v>
      </c>
      <c r="AT151" s="149">
        <f t="shared" si="9"/>
        <v>21</v>
      </c>
      <c r="AU151" s="153">
        <v>1</v>
      </c>
      <c r="AV151" s="337"/>
      <c r="AW151" s="338"/>
      <c r="AX151" s="154">
        <f>IF(AO160&gt;AP160,1,0)+IF(AQ160&gt;AR160,1,0)+IF(AS160&gt;AT160,1,0)</f>
        <v>2</v>
      </c>
      <c r="AY151" s="154">
        <f>AV152</f>
        <v>0</v>
      </c>
      <c r="AZ151" s="154">
        <f>IF(AO153&gt;AP153,1,0)+IF(AQ153&gt;AR153,1,0)+IF(AS153&gt;AT153,1,0)</f>
        <v>2</v>
      </c>
      <c r="BA151" s="148">
        <f>AV153</f>
        <v>0</v>
      </c>
      <c r="BB151" s="155">
        <f>IF(AP157&gt;AO157,1,0)+IF(AR157&gt;AQ157,1,0)+IF(AT157&gt;AS157,1,0)</f>
        <v>2</v>
      </c>
      <c r="BC151" s="156">
        <f>AV154</f>
        <v>0</v>
      </c>
      <c r="BD151" s="148">
        <f>IF(AP156&gt;AO156,1,0)+IF(AR156&gt;AQ156,1,0)+IF(AT156&gt;AS156,1,0)</f>
        <v>2</v>
      </c>
      <c r="BE151" s="149">
        <f>AV155</f>
        <v>0</v>
      </c>
      <c r="BF151" s="147">
        <f>AO153+AQ153+AS153+AP156+AR156+AT156++AP157+AR157+AT157+AO160+AQ160+AS160</f>
        <v>168</v>
      </c>
      <c r="BG151" s="157">
        <f>AP153+AR153+AT153+AO156+AQ156+AS156+AO157+AQ157+AS157+AP160+AR160+AT160</f>
        <v>95</v>
      </c>
      <c r="BH151" s="147">
        <f>AX151+AZ151+BB151+BD151</f>
        <v>8</v>
      </c>
      <c r="BI151" s="149">
        <f>AY151+BA151+BC151+BE151</f>
        <v>0</v>
      </c>
      <c r="BJ151" s="147">
        <f>IF(AX151&gt;AY151,1,0)+IF(AZ151&gt;BA151,1,0)+IF(BB151&gt;BC151,1,0)+IF(BD151&gt;BE151,1,0)</f>
        <v>4</v>
      </c>
      <c r="BK151" s="149">
        <f>IF(AY151&gt;AX151,1,0)+IF(BA151&gt;AZ151,1,0)+IF(BC151&gt;BB151,1,0)+IF(BE151&gt;BD151,1,0)</f>
        <v>0</v>
      </c>
      <c r="BL151" s="158">
        <f>IF(BJ151+BK151=0,"",IF(BM151=MAX(BM151:BM155),1,IF(BM151=LARGE(BM151:BM155,2),2,IF(BM151=LARGE(BM151:BM155,3),3,IF(BM151=MIN(BM151:BM155),5,4)))))</f>
        <v>1</v>
      </c>
      <c r="BM151" s="159">
        <f>IF(BJ151+BK151&lt;&gt;0,BJ151-BK151+(BH151-BI151)/100+(BF151-BG151)/10000,-4)</f>
        <v>4.0873</v>
      </c>
      <c r="BQ151" s="160"/>
      <c r="BR151" s="160"/>
      <c r="BS151" s="160"/>
    </row>
    <row r="152" spans="1:71" s="12" customFormat="1" ht="11.25" customHeight="1">
      <c r="A152" s="12">
        <f t="shared" si="7"/>
        <v>35</v>
      </c>
      <c r="B152" s="12" t="str">
        <f>IF(N155="","",N155)</f>
        <v>M0008</v>
      </c>
      <c r="C152" s="12">
        <f>IF(N156="","",N156)</f>
      </c>
      <c r="D152" s="12" t="str">
        <f>IF(N158="","",N158)</f>
        <v>M0028</v>
      </c>
      <c r="E152" s="12">
        <f>IF(N159="","",N159)</f>
      </c>
      <c r="M152" s="12" t="str">
        <f>N148</f>
        <v>Old Boys</v>
      </c>
      <c r="N152" s="30" t="s">
        <v>57</v>
      </c>
      <c r="O152" s="23"/>
      <c r="P152" s="23"/>
      <c r="Q152" s="40">
        <f>IF(AN152&gt;0,"",IF(A152=0,"",IF(VLOOKUP(A152,'[1]plan gier'!A:S,19,FALSE)="","",VLOOKUP(A152,'[1]plan gier'!A:S,19,FALSE))))</f>
      </c>
      <c r="R152" s="142" t="s">
        <v>58</v>
      </c>
      <c r="S152" s="42">
        <v>35</v>
      </c>
      <c r="T152" s="260"/>
      <c r="U152" s="271" t="str">
        <f>IF(AND(N152&lt;&gt;"",N153=""),CONCATENATE(VLOOKUP(N152,'[1]zawodnicy'!$A:$E,1,FALSE)," ",VLOOKUP(N152,'[1]zawodnicy'!$A:$E,2,FALSE)," ",VLOOKUP(N152,'[1]zawodnicy'!$A:$E,3,FALSE)," - ",VLOOKUP(N152,'[1]zawodnicy'!$A:$E,4,FALSE)),"")</f>
        <v>K0003 Robert KARNASIEWICZ - Mielec</v>
      </c>
      <c r="V152" s="317"/>
      <c r="W152" s="161" t="str">
        <f>IF(SUM(AQ160:AR160)=0,"",AR160&amp;":"&amp;AQ160)</f>
        <v>18:21</v>
      </c>
      <c r="X152" s="334"/>
      <c r="Y152" s="137" t="str">
        <f>IF(SUM(AQ158:AR158)=0,"",AQ158&amp;":"&amp;AR158)</f>
        <v>15:21</v>
      </c>
      <c r="Z152" s="137" t="str">
        <f>IF(SUM(AQ155:AR155)=0,"",AR155&amp;":"&amp;AQ155)</f>
        <v>16:21</v>
      </c>
      <c r="AA152" s="138" t="str">
        <f>IF(SUM(AQ151:AR151)=0,"",AQ151&amp;":"&amp;AR151)</f>
        <v>21:16</v>
      </c>
      <c r="AB152" s="315"/>
      <c r="AC152" s="265"/>
      <c r="AD152" s="265"/>
      <c r="AE152" s="268"/>
      <c r="AF152" s="136"/>
      <c r="AG152" s="146" t="s">
        <v>58</v>
      </c>
      <c r="AH152" s="162">
        <f>IF(ISBLANK(S152),"",VLOOKUP(S152,'[1]plan gier'!$X:$AN,12,FALSE))</f>
        <v>21</v>
      </c>
      <c r="AI152" s="163">
        <f>IF(ISBLANK(S152),"",VLOOKUP(S152,'[1]plan gier'!$X:$AN,13,FALSE))</f>
        <v>13</v>
      </c>
      <c r="AJ152" s="163">
        <f>IF(ISBLANK(S152),"",VLOOKUP(S152,'[1]plan gier'!$X:$AN,14,FALSE))</f>
        <v>21</v>
      </c>
      <c r="AK152" s="163">
        <f>IF(ISBLANK(S152),"",VLOOKUP(S152,'[1]plan gier'!$X:$AN,15,FALSE))</f>
        <v>7</v>
      </c>
      <c r="AL152" s="163">
        <f>IF(ISBLANK(S152),"",VLOOKUP(S152,'[1]plan gier'!$X:$AN,16,FALSE))</f>
        <v>0</v>
      </c>
      <c r="AM152" s="164">
        <f>IF(ISBLANK(S152),"",VLOOKUP(S152,'[1]plan gier'!$X:$AN,17,FALSE))</f>
        <v>0</v>
      </c>
      <c r="AN152" s="150">
        <f t="shared" si="8"/>
        <v>62</v>
      </c>
      <c r="AO152" s="165">
        <f t="shared" si="9"/>
        <v>21</v>
      </c>
      <c r="AP152" s="163">
        <f t="shared" si="9"/>
        <v>13</v>
      </c>
      <c r="AQ152" s="166">
        <f t="shared" si="9"/>
        <v>21</v>
      </c>
      <c r="AR152" s="163">
        <f t="shared" si="9"/>
        <v>7</v>
      </c>
      <c r="AS152" s="166">
        <f t="shared" si="9"/>
        <v>0</v>
      </c>
      <c r="AT152" s="164">
        <f t="shared" si="9"/>
        <v>0</v>
      </c>
      <c r="AU152" s="153">
        <v>2</v>
      </c>
      <c r="AV152" s="162">
        <f>IF(AO160&lt;AP160,1,0)+IF(AQ160&lt;AR160,1,0)+IF(AS160&lt;AT160,1,0)</f>
        <v>0</v>
      </c>
      <c r="AW152" s="163">
        <f>AX151</f>
        <v>2</v>
      </c>
      <c r="AX152" s="167"/>
      <c r="AY152" s="168"/>
      <c r="AZ152" s="163">
        <f>IF(AO158&gt;AP158,1,0)+IF(AQ158&gt;AR158,1,0)+IF(AS158&gt;AT158,1,0)</f>
        <v>0</v>
      </c>
      <c r="BA152" s="163">
        <f>AX153</f>
        <v>2</v>
      </c>
      <c r="BB152" s="169">
        <f>IF(AP155&gt;AO155,1,0)+IF(AR155&gt;AQ155,1,0)+IF(AT155&gt;AS155,1,0)</f>
        <v>0</v>
      </c>
      <c r="BC152" s="170">
        <f>AX154</f>
        <v>2</v>
      </c>
      <c r="BD152" s="163">
        <f>IF(AO151&gt;AP151,1,0)+IF(AQ151&gt;AR151,1,0)+IF(AS151&gt;AT151,1,0)</f>
        <v>1</v>
      </c>
      <c r="BE152" s="164">
        <f>AX155</f>
        <v>2</v>
      </c>
      <c r="BF152" s="162">
        <f>AO151+AQ151+AS151+AP155+AR155+AT155++AO158+AQ158+AS158++AP160+AR160+AT160</f>
        <v>152</v>
      </c>
      <c r="BG152" s="170">
        <f>AP151+AR151+AT151+AO155+AQ155+AS155+AP158+AR158+AT158+AO160+AQ160+AS160</f>
        <v>184</v>
      </c>
      <c r="BH152" s="162">
        <f>AV152+AZ152+BB152+BD152</f>
        <v>1</v>
      </c>
      <c r="BI152" s="164">
        <f>AW152+BA152+BC152+BE152</f>
        <v>8</v>
      </c>
      <c r="BJ152" s="162">
        <f>IF(AV152&gt;AW152,1,0)+IF(AZ152&gt;BA152,1,0)+IF(BB152&gt;BC152,1,0)+IF(BD152&gt;BE152,1,0)</f>
        <v>0</v>
      </c>
      <c r="BK152" s="164">
        <f>IF(AW152&gt;AV152,1,0)+IF(BA152&gt;AZ152,1,0)+IF(BC152&gt;BB152,1,0)+IF(BE152&gt;BD152,1,0)</f>
        <v>4</v>
      </c>
      <c r="BL152" s="171">
        <f>IF(BJ152+BK152=0,"",IF(BM152=MAX(BM151:BM155),1,IF(BM152=LARGE(BM151:BM155,2),2,IF(BM152=LARGE(BM151:BM155,3),3,IF(BM152=MIN(BM151:BM155),5,4)))))</f>
        <v>5</v>
      </c>
      <c r="BM152" s="159">
        <f>IF(BJ152+BK152&lt;&gt;0,BJ152-BK152+(BH152-BI152)/100+(BF152-BG152)/10000,-4)</f>
        <v>-4.0732</v>
      </c>
      <c r="BQ152" s="160"/>
      <c r="BR152" s="160"/>
      <c r="BS152" s="160"/>
    </row>
    <row r="153" spans="1:71" s="12" customFormat="1" ht="11.25" customHeight="1">
      <c r="A153" s="12">
        <f t="shared" si="7"/>
        <v>36</v>
      </c>
      <c r="B153" s="12" t="str">
        <f>IF(N149="","",N149)</f>
        <v>B0009</v>
      </c>
      <c r="C153" s="12">
        <f>IF(N150="","",N150)</f>
      </c>
      <c r="D153" s="12" t="str">
        <f>IF(N155="","",N155)</f>
        <v>M0008</v>
      </c>
      <c r="E153" s="12">
        <f>IF(N156="","",N156)</f>
      </c>
      <c r="J153" s="23"/>
      <c r="K153" s="23"/>
      <c r="M153" s="12" t="str">
        <f>N148</f>
        <v>Old Boys</v>
      </c>
      <c r="N153" s="35"/>
      <c r="O153" s="23"/>
      <c r="P153" s="23"/>
      <c r="Q153" s="40">
        <f>IF(AN153&gt;0,"",IF(A153=0,"",IF(VLOOKUP(A153,'[1]plan gier'!A:S,19,FALSE)="","",VLOOKUP(A153,'[1]plan gier'!A:S,19,FALSE))))</f>
      </c>
      <c r="R153" s="172" t="s">
        <v>15</v>
      </c>
      <c r="S153" s="42">
        <v>36</v>
      </c>
      <c r="T153" s="261"/>
      <c r="U153" s="273">
        <f>IF(N153&lt;&gt;"",CONCATENATE(VLOOKUP(N153,'[1]zawodnicy'!$A:$E,1,FALSE)," ",VLOOKUP(N153,'[1]zawodnicy'!$A:$E,2,FALSE)," ",VLOOKUP(N153,'[1]zawodnicy'!$A:$E,3,FALSE)," - ",VLOOKUP(N153,'[1]zawodnicy'!$A:$E,4,FALSE)),"")</f>
      </c>
      <c r="V153" s="318"/>
      <c r="W153" s="173">
        <f>IF(SUM(AS160:AT160)=0,"",AT160&amp;":"&amp;AS160)</f>
      </c>
      <c r="X153" s="335"/>
      <c r="Y153" s="139">
        <f>IF(SUM(AS158:AT158)=0,"",AS158&amp;":"&amp;AT158)</f>
      </c>
      <c r="Z153" s="139">
        <f>IF(SUM(AS155:AT155)=0,"",AT155&amp;":"&amp;AS155)</f>
      </c>
      <c r="AA153" s="140" t="str">
        <f>IF(SUM(AS151:AT151)=0,"",AS151&amp;":"&amp;AT151)</f>
        <v>19:21</v>
      </c>
      <c r="AB153" s="316"/>
      <c r="AC153" s="266"/>
      <c r="AD153" s="266"/>
      <c r="AE153" s="269"/>
      <c r="AF153" s="136"/>
      <c r="AG153" s="174" t="s">
        <v>15</v>
      </c>
      <c r="AH153" s="162">
        <f>IF(ISBLANK(S153),"",VLOOKUP(S153,'[1]plan gier'!$X:$AN,12,FALSE))</f>
        <v>21</v>
      </c>
      <c r="AI153" s="163">
        <f>IF(ISBLANK(S153),"",VLOOKUP(S153,'[1]plan gier'!$X:$AN,13,FALSE))</f>
        <v>15</v>
      </c>
      <c r="AJ153" s="163">
        <f>IF(ISBLANK(S153),"",VLOOKUP(S153,'[1]plan gier'!$X:$AN,14,FALSE))</f>
        <v>21</v>
      </c>
      <c r="AK153" s="163">
        <f>IF(ISBLANK(S153),"",VLOOKUP(S153,'[1]plan gier'!$X:$AN,15,FALSE))</f>
        <v>12</v>
      </c>
      <c r="AL153" s="163">
        <f>IF(ISBLANK(S153),"",VLOOKUP(S153,'[1]plan gier'!$X:$AN,16,FALSE))</f>
        <v>0</v>
      </c>
      <c r="AM153" s="164">
        <f>IF(ISBLANK(S153),"",VLOOKUP(S153,'[1]plan gier'!$X:$AN,17,FALSE))</f>
        <v>0</v>
      </c>
      <c r="AN153" s="150">
        <f t="shared" si="8"/>
        <v>69</v>
      </c>
      <c r="AO153" s="165">
        <f t="shared" si="9"/>
        <v>21</v>
      </c>
      <c r="AP153" s="163">
        <f t="shared" si="9"/>
        <v>15</v>
      </c>
      <c r="AQ153" s="166">
        <f t="shared" si="9"/>
        <v>21</v>
      </c>
      <c r="AR153" s="163">
        <f t="shared" si="9"/>
        <v>12</v>
      </c>
      <c r="AS153" s="166">
        <f t="shared" si="9"/>
        <v>0</v>
      </c>
      <c r="AT153" s="164">
        <f t="shared" si="9"/>
        <v>0</v>
      </c>
      <c r="AU153" s="153">
        <v>3</v>
      </c>
      <c r="AV153" s="162">
        <f>IF(AO153&lt;AP153,1,0)+IF(AQ153&lt;AR153,1,0)+IF(AS153&lt;AT153,1,0)</f>
        <v>0</v>
      </c>
      <c r="AW153" s="163">
        <f>AZ151</f>
        <v>2</v>
      </c>
      <c r="AX153" s="163">
        <f>IF(AO158&lt;AP158,1,0)+IF(AQ158&lt;AR158,1,0)+IF(AS158&lt;AT158,1,0)</f>
        <v>2</v>
      </c>
      <c r="AY153" s="163">
        <f>AZ152</f>
        <v>0</v>
      </c>
      <c r="AZ153" s="167"/>
      <c r="BA153" s="168"/>
      <c r="BB153" s="163">
        <f>IF(AO152&gt;AP152,1,0)+IF(AQ152&gt;AR152,1,0)+IF(AS152&gt;AT152,1,0)</f>
        <v>2</v>
      </c>
      <c r="BC153" s="170">
        <f>AZ154</f>
        <v>0</v>
      </c>
      <c r="BD153" s="163">
        <f>IF(AP159&gt;AO159,1,0)+IF(AR159&gt;AQ159,1,0)+IF(AT159&gt;AS159,1,0)</f>
        <v>2</v>
      </c>
      <c r="BE153" s="164">
        <f>AZ155</f>
        <v>1</v>
      </c>
      <c r="BF153" s="175">
        <f>AO152+AQ152+AS152+AP153+AR153+AT153+AP158+AR158+AT158+AP159+AR159+AT159</f>
        <v>179</v>
      </c>
      <c r="BG153" s="176">
        <f>AP152+AR152+AT152+AO153+AQ153+AS153+AO158+AQ158+AS158+AO159+AQ159+AS159</f>
        <v>150</v>
      </c>
      <c r="BH153" s="175">
        <f>AV153+AX153+BB153+BD153</f>
        <v>6</v>
      </c>
      <c r="BI153" s="177">
        <f>AW153+AY153+BC153+BE153</f>
        <v>3</v>
      </c>
      <c r="BJ153" s="162">
        <f>IF(AV153&gt;AW153,1,0)+IF(AX153&gt;AY153,1,0)+IF(BB153&gt;BC153,1,0)+IF(BD153&gt;BE153,1,0)</f>
        <v>3</v>
      </c>
      <c r="BK153" s="164">
        <f>IF(AW153&gt;AV153,1,0)+IF(AY153&gt;AX153,1,0)+IF(BC153&gt;BB153,1,0)+IF(BE153&gt;BD153,1,0)</f>
        <v>1</v>
      </c>
      <c r="BL153" s="171">
        <f>IF(BJ153+BK153=0,"",IF(BM153=MAX(BM151:BM155),1,IF(BM153=LARGE(BM151:BM155,2),2,IF(BM153=LARGE(BM151:BM155,3),3,IF(BM153=MIN(BM151:BM155),5,4)))))</f>
        <v>2</v>
      </c>
      <c r="BM153" s="159">
        <f>IF(BJ153+BK153&lt;&gt;0,BJ153-BK153+(BH153-BI153)/100+(BF153-BG153)/10000,-4)</f>
        <v>2.0328999999999997</v>
      </c>
      <c r="BQ153" s="160"/>
      <c r="BR153" s="160"/>
      <c r="BS153" s="160"/>
    </row>
    <row r="154" spans="1:71" s="12" customFormat="1" ht="11.25" customHeight="1" thickBot="1">
      <c r="A154" s="12">
        <f t="shared" si="7"/>
        <v>37</v>
      </c>
      <c r="B154" s="12" t="str">
        <f>IF(N158="","",N158)</f>
        <v>M0028</v>
      </c>
      <c r="C154" s="12">
        <f>IF(N159="","",N159)</f>
      </c>
      <c r="D154" s="12" t="str">
        <f>IF(N161="","",N161)</f>
        <v>K0040</v>
      </c>
      <c r="E154" s="12">
        <f>IF(N162="","",N162)</f>
      </c>
      <c r="J154" s="23"/>
      <c r="K154" s="23"/>
      <c r="M154" s="12" t="str">
        <f>N148</f>
        <v>Old Boys</v>
      </c>
      <c r="N154" s="28"/>
      <c r="O154" s="23"/>
      <c r="P154" s="23"/>
      <c r="Q154" s="40">
        <f>IF(AN154&gt;0,"",IF(A154=0,"",IF(VLOOKUP(A154,'[1]plan gier'!A:S,19,FALSE)="","",VLOOKUP(A154,'[1]plan gier'!A:S,19,FALSE))))</f>
      </c>
      <c r="R154" s="172" t="s">
        <v>59</v>
      </c>
      <c r="S154" s="42">
        <v>37</v>
      </c>
      <c r="T154" s="279">
        <v>3</v>
      </c>
      <c r="U154" s="280">
        <f>IF(AND(N155&lt;&gt;"",N156&lt;&gt;""),CONCATENATE(VLOOKUP(N155,'[1]zawodnicy'!$A:$E,1,FALSE)," ",VLOOKUP(N155,'[1]zawodnicy'!$A:$E,2,FALSE)," ",VLOOKUP(N155,'[1]zawodnicy'!$A:$E,3,FALSE)," - ",VLOOKUP(N155,'[1]zawodnicy'!$A:$E,4,FALSE)),"")</f>
      </c>
      <c r="V154" s="332"/>
      <c r="W154" s="143" t="str">
        <f>IF(SUM(AO153:AP153)=0,"",AP153&amp;":"&amp;AO153)</f>
        <v>15:21</v>
      </c>
      <c r="X154" s="144" t="str">
        <f>IF(SUM(AO158:AP158)=0,"",AP158&amp;":"&amp;AO158)</f>
        <v>21:17</v>
      </c>
      <c r="Y154" s="333"/>
      <c r="Z154" s="144" t="str">
        <f>IF(SUM(AO152:AP152)=0,"",AO152&amp;":"&amp;AP152)</f>
        <v>21:13</v>
      </c>
      <c r="AA154" s="145" t="str">
        <f>IF(SUM(AO159:AP159)=0,"",AP159&amp;":"&amp;AO159)</f>
        <v>21:9</v>
      </c>
      <c r="AB154" s="336" t="str">
        <f>IF(SUM(AV153:AY153,BB153:BE153)=0,"",BF153&amp;":"&amp;BG153)</f>
        <v>179:150</v>
      </c>
      <c r="AC154" s="282" t="str">
        <f>IF(SUM(AV153:AY153,BB153:BE153)=0,"",BH153&amp;":"&amp;BI153)</f>
        <v>6:3</v>
      </c>
      <c r="AD154" s="282" t="str">
        <f>IF(SUM(AV153:AY153,BB153:BE153)=0,"",BJ153&amp;":"&amp;BK153)</f>
        <v>3:1</v>
      </c>
      <c r="AE154" s="283">
        <f>IF(SUM(BJ151:BJ155)&gt;0,BL153,"")</f>
        <v>2</v>
      </c>
      <c r="AF154" s="136"/>
      <c r="AG154" s="174" t="s">
        <v>59</v>
      </c>
      <c r="AH154" s="162">
        <f>IF(ISBLANK(S154),"",VLOOKUP(S154,'[1]plan gier'!$X:$AN,12,FALSE))</f>
        <v>21</v>
      </c>
      <c r="AI154" s="163">
        <f>IF(ISBLANK(S154),"",VLOOKUP(S154,'[1]plan gier'!$X:$AN,13,FALSE))</f>
        <v>17</v>
      </c>
      <c r="AJ154" s="163">
        <f>IF(ISBLANK(S154),"",VLOOKUP(S154,'[1]plan gier'!$X:$AN,14,FALSE))</f>
        <v>21</v>
      </c>
      <c r="AK154" s="163">
        <f>IF(ISBLANK(S154),"",VLOOKUP(S154,'[1]plan gier'!$X:$AN,15,FALSE))</f>
        <v>13</v>
      </c>
      <c r="AL154" s="163">
        <f>IF(ISBLANK(S154),"",VLOOKUP(S154,'[1]plan gier'!$X:$AN,16,FALSE))</f>
        <v>0</v>
      </c>
      <c r="AM154" s="164">
        <f>IF(ISBLANK(S154),"",VLOOKUP(S154,'[1]plan gier'!$X:$AN,17,FALSE))</f>
        <v>0</v>
      </c>
      <c r="AN154" s="150">
        <f t="shared" si="8"/>
        <v>72</v>
      </c>
      <c r="AO154" s="165">
        <f t="shared" si="9"/>
        <v>21</v>
      </c>
      <c r="AP154" s="163">
        <f t="shared" si="9"/>
        <v>17</v>
      </c>
      <c r="AQ154" s="166">
        <f t="shared" si="9"/>
        <v>21</v>
      </c>
      <c r="AR154" s="163">
        <f t="shared" si="9"/>
        <v>13</v>
      </c>
      <c r="AS154" s="166">
        <f t="shared" si="9"/>
        <v>0</v>
      </c>
      <c r="AT154" s="164">
        <f t="shared" si="9"/>
        <v>0</v>
      </c>
      <c r="AU154" s="153">
        <v>4</v>
      </c>
      <c r="AV154" s="162">
        <f>IF(AP157&lt;AO157,1,0)+IF(AR157&lt;AQ157,1,0)+IF(AT157&lt;AS157,1,0)</f>
        <v>0</v>
      </c>
      <c r="AW154" s="163">
        <f>BB151</f>
        <v>2</v>
      </c>
      <c r="AX154" s="163">
        <f>IF(AP155&lt;AO155,1,0)+IF(AR155&lt;AQ155,1,0)+IF(AT155&lt;AS155,1,0)</f>
        <v>2</v>
      </c>
      <c r="AY154" s="163">
        <f>BB152</f>
        <v>0</v>
      </c>
      <c r="AZ154" s="163">
        <f>IF(AO152&lt;AP152,1,0)+IF(AQ152&lt;AR152,1,0)+IF(AS152&lt;AT152,1,0)</f>
        <v>0</v>
      </c>
      <c r="BA154" s="163">
        <f>BB153</f>
        <v>2</v>
      </c>
      <c r="BB154" s="178"/>
      <c r="BC154" s="179"/>
      <c r="BD154" s="163">
        <f>IF(AO154&gt;AP154,1,0)+IF(AQ154&gt;AR154,1,0)+IF(AS154&gt;AT154,1,0)</f>
        <v>2</v>
      </c>
      <c r="BE154" s="164">
        <f>BB155</f>
        <v>0</v>
      </c>
      <c r="BF154" s="162">
        <f>AP152+AR152+AT152++AO154+AQ154+AS154+AO155+AQ155+AS155+AO157+AQ157+AS157</f>
        <v>117</v>
      </c>
      <c r="BG154" s="170">
        <f>AO152+AQ152+AS152+AP154+AR154+AT154+AP155+AR155+AT155+AP157+AR157+AT157</f>
        <v>145</v>
      </c>
      <c r="BH154" s="162">
        <f>AV154+AX154+AZ154+BD154</f>
        <v>4</v>
      </c>
      <c r="BI154" s="164">
        <f>AW154+AY154+BA154+BE154</f>
        <v>4</v>
      </c>
      <c r="BJ154" s="162">
        <f>IF(AV154&gt;AW154,1,0)+IF(AX154&gt;AY154,1,0)+IF(AZ154&gt;BA154,1,0)+IF(BD154&gt;BE154,1,0)</f>
        <v>2</v>
      </c>
      <c r="BK154" s="164">
        <f>IF(AW154&gt;AV154,1,0)+IF(AY154&gt;AX154,1,0)+IF(BA154&gt;AZ154,1,0)+IF(BE154&gt;BD154,1,0)</f>
        <v>2</v>
      </c>
      <c r="BL154" s="171">
        <f>IF(BJ154+BK154=0,"",IF(BM154=MAX(BM151:BM155),1,IF(BM154=LARGE(BM151:BM155,2),2,IF(BM154=LARGE(BM151:BM155,3),3,IF(BM154=MIN(BM151:BM155),5,4)))))</f>
        <v>3</v>
      </c>
      <c r="BM154" s="159">
        <f>IF(BJ154+BK154&lt;&gt;0,BJ154-BK154+(BH154-BI154)/100+(BF154-BG154)/10000,-4)</f>
        <v>-0.0028</v>
      </c>
      <c r="BQ154" s="160"/>
      <c r="BR154" s="160"/>
      <c r="BS154" s="160"/>
    </row>
    <row r="155" spans="1:71" s="12" customFormat="1" ht="11.25" customHeight="1" thickBot="1">
      <c r="A155" s="12">
        <f t="shared" si="7"/>
        <v>38</v>
      </c>
      <c r="B155" s="12" t="str">
        <f>IF(N158="","",N158)</f>
        <v>M0028</v>
      </c>
      <c r="C155" s="12">
        <f>IF(N159="","",N159)</f>
      </c>
      <c r="D155" s="12" t="str">
        <f>IF(N152="","",N152)</f>
        <v>K0003</v>
      </c>
      <c r="E155" s="12">
        <f>IF(N153="","",N153)</f>
      </c>
      <c r="M155" s="12" t="str">
        <f>N148</f>
        <v>Old Boys</v>
      </c>
      <c r="N155" s="30" t="s">
        <v>29</v>
      </c>
      <c r="O155" s="23"/>
      <c r="P155" s="23"/>
      <c r="Q155" s="40">
        <f>IF(AN155&gt;0,"",IF(A155=0,"",IF(VLOOKUP(A155,'[1]plan gier'!A:S,19,FALSE)="","",VLOOKUP(A155,'[1]plan gier'!A:S,19,FALSE))))</f>
      </c>
      <c r="R155" s="172" t="s">
        <v>60</v>
      </c>
      <c r="S155" s="42">
        <v>38</v>
      </c>
      <c r="T155" s="260"/>
      <c r="U155" s="271" t="str">
        <f>IF(AND(N155&lt;&gt;"",N156=""),CONCATENATE(VLOOKUP(N155,'[1]zawodnicy'!$A:$E,1,FALSE)," ",VLOOKUP(N155,'[1]zawodnicy'!$A:$E,2,FALSE)," ",VLOOKUP(N155,'[1]zawodnicy'!$A:$E,3,FALSE)," - ",VLOOKUP(N155,'[1]zawodnicy'!$A:$E,4,FALSE)),"")</f>
        <v>M0008 Tadeusz MICHALIK - Tarnów</v>
      </c>
      <c r="V155" s="317"/>
      <c r="W155" s="161" t="str">
        <f>IF(SUM(AQ153:AR153)=0,"",AR153&amp;":"&amp;AQ153)</f>
        <v>12:21</v>
      </c>
      <c r="X155" s="137" t="str">
        <f>IF(SUM(AQ158:AR158)=0,"",AR158&amp;":"&amp;AQ158)</f>
        <v>21:15</v>
      </c>
      <c r="Y155" s="334"/>
      <c r="Z155" s="137" t="str">
        <f>IF(SUM(AQ152:AR152)=0,"",AQ152&amp;":"&amp;AR152)</f>
        <v>21:7</v>
      </c>
      <c r="AA155" s="138" t="str">
        <f>IF(SUM(AQ159:AR159)=0,"",AR159&amp;":"&amp;AQ159)</f>
        <v>21:23</v>
      </c>
      <c r="AB155" s="315"/>
      <c r="AC155" s="265"/>
      <c r="AD155" s="265"/>
      <c r="AE155" s="268"/>
      <c r="AF155" s="136"/>
      <c r="AG155" s="174" t="s">
        <v>60</v>
      </c>
      <c r="AH155" s="162">
        <f>IF(ISBLANK(S155),"",VLOOKUP(S155,'[1]plan gier'!$X:$AN,12,FALSE))</f>
        <v>21</v>
      </c>
      <c r="AI155" s="163">
        <f>IF(ISBLANK(S155),"",VLOOKUP(S155,'[1]plan gier'!$X:$AN,13,FALSE))</f>
        <v>15</v>
      </c>
      <c r="AJ155" s="163">
        <f>IF(ISBLANK(S155),"",VLOOKUP(S155,'[1]plan gier'!$X:$AN,14,FALSE))</f>
        <v>21</v>
      </c>
      <c r="AK155" s="163">
        <f>IF(ISBLANK(S155),"",VLOOKUP(S155,'[1]plan gier'!$X:$AN,15,FALSE))</f>
        <v>16</v>
      </c>
      <c r="AL155" s="163">
        <f>IF(ISBLANK(S155),"",VLOOKUP(S155,'[1]plan gier'!$X:$AN,16,FALSE))</f>
        <v>0</v>
      </c>
      <c r="AM155" s="164">
        <f>IF(ISBLANK(S155),"",VLOOKUP(S155,'[1]plan gier'!$X:$AN,17,FALSE))</f>
        <v>0</v>
      </c>
      <c r="AN155" s="150">
        <f t="shared" si="8"/>
        <v>73</v>
      </c>
      <c r="AO155" s="165">
        <f t="shared" si="9"/>
        <v>21</v>
      </c>
      <c r="AP155" s="163">
        <f t="shared" si="9"/>
        <v>15</v>
      </c>
      <c r="AQ155" s="166">
        <f t="shared" si="9"/>
        <v>21</v>
      </c>
      <c r="AR155" s="163">
        <f t="shared" si="9"/>
        <v>16</v>
      </c>
      <c r="AS155" s="166">
        <f t="shared" si="9"/>
        <v>0</v>
      </c>
      <c r="AT155" s="164">
        <f t="shared" si="9"/>
        <v>0</v>
      </c>
      <c r="AU155" s="153">
        <v>5</v>
      </c>
      <c r="AV155" s="180">
        <f>IF(AP156&lt;AO156,1,0)+IF(AR156&lt;AQ156,1,0)+IF(AT156&lt;AS156,1,0)</f>
        <v>0</v>
      </c>
      <c r="AW155" s="181">
        <f>BD151</f>
        <v>2</v>
      </c>
      <c r="AX155" s="181">
        <f>IF(AO151&lt;AP151,1,0)+IF(AQ151&lt;AR151,1,0)+IF(AS151&lt;AT151,1,0)</f>
        <v>2</v>
      </c>
      <c r="AY155" s="181">
        <f>BD152</f>
        <v>1</v>
      </c>
      <c r="AZ155" s="181">
        <f>IF(AP159&lt;AO159,1,0)+IF(AR159&lt;AQ159,1,0)+IF(AT159&lt;AS159,1,0)</f>
        <v>1</v>
      </c>
      <c r="BA155" s="181">
        <f>BD153</f>
        <v>2</v>
      </c>
      <c r="BB155" s="181">
        <f>IF(AO154&lt;AP154,1,0)+IF(AQ154&lt;AR154,1,0)+IF(AS154&lt;AT154,1,0)</f>
        <v>0</v>
      </c>
      <c r="BC155" s="181">
        <f>BD154</f>
        <v>2</v>
      </c>
      <c r="BD155" s="182"/>
      <c r="BE155" s="183"/>
      <c r="BF155" s="184">
        <f>AP151+AR151+AT151+AP154+AR154+AT154+AO156+AQ156+AS156+AO159+AQ159+AS159</f>
        <v>166</v>
      </c>
      <c r="BG155" s="185">
        <f>AO151+AQ151+AS151+AO154+AQ154+AS154+AP156+AR156+AT156+AP159+AR159+AT159</f>
        <v>208</v>
      </c>
      <c r="BH155" s="184">
        <f>AV155+AX155+AZ155+BB155</f>
        <v>3</v>
      </c>
      <c r="BI155" s="186">
        <f>AW155+AY155+BA155+BC155</f>
        <v>7</v>
      </c>
      <c r="BJ155" s="184">
        <f>IF(AV155&gt;AW155,1,0)+IF(AX155&gt;AY155,1,0)+IF(AZ155&gt;BA155,1,0)+IF(BB155&gt;BC155,1,0)</f>
        <v>1</v>
      </c>
      <c r="BK155" s="186">
        <f>IF(AW155&gt;AV155,1,0)+IF(AY155&gt;AX155,1,0)+IF(BA155&gt;AZ155,1,0)+IF(BC155&gt;BB155,1,0)</f>
        <v>3</v>
      </c>
      <c r="BL155" s="187">
        <f>IF(BJ155+BK155=0,"",IF(BM155=MAX(BM151:BM155),1,IF(BM155=LARGE(BM151:BM155,2),2,IF(BM155=LARGE(BM151:BM155,3),3,IF(BM155=MIN(BM151:BM155),5,4)))))</f>
        <v>4</v>
      </c>
      <c r="BM155" s="159">
        <f>IF(BJ155+BK155&lt;&gt;0,BJ155-BK155+(BH155-BI155)/100+(BF155-BG155)/10000,-4)</f>
        <v>-2.0442</v>
      </c>
      <c r="BQ155" s="160"/>
      <c r="BR155" s="160"/>
      <c r="BS155" s="160"/>
    </row>
    <row r="156" spans="1:65" s="12" customFormat="1" ht="11.25" customHeight="1">
      <c r="A156" s="12">
        <f t="shared" si="7"/>
        <v>39</v>
      </c>
      <c r="B156" s="12" t="str">
        <f>IF(N161="","",N161)</f>
        <v>K0040</v>
      </c>
      <c r="C156" s="12">
        <f>IF(N162="","",N162)</f>
      </c>
      <c r="D156" s="12" t="str">
        <f>IF(N149="","",N149)</f>
        <v>B0009</v>
      </c>
      <c r="E156" s="12">
        <f>IF(N150="","",N150)</f>
      </c>
      <c r="J156" s="23"/>
      <c r="K156" s="23"/>
      <c r="M156" s="12" t="str">
        <f>N148</f>
        <v>Old Boys</v>
      </c>
      <c r="N156" s="35"/>
      <c r="O156" s="23"/>
      <c r="P156" s="23"/>
      <c r="Q156" s="40">
        <f>IF(AN156&gt;0,"",IF(A156=0,"",IF(VLOOKUP(A156,'[1]plan gier'!A:S,19,FALSE)="","",VLOOKUP(A156,'[1]plan gier'!A:S,19,FALSE))))</f>
      </c>
      <c r="R156" s="172" t="s">
        <v>61</v>
      </c>
      <c r="S156" s="42">
        <v>39</v>
      </c>
      <c r="T156" s="261"/>
      <c r="U156" s="273">
        <f>IF(N156&lt;&gt;"",CONCATENATE(VLOOKUP(N156,'[1]zawodnicy'!$A:$E,1,FALSE)," ",VLOOKUP(N156,'[1]zawodnicy'!$A:$E,2,FALSE)," ",VLOOKUP(N156,'[1]zawodnicy'!$A:$E,3,FALSE)," - ",VLOOKUP(N156,'[1]zawodnicy'!$A:$E,4,FALSE)),"")</f>
      </c>
      <c r="V156" s="318"/>
      <c r="W156" s="173">
        <f>IF(SUM(AS153:AT153)=0,"",AT153&amp;":"&amp;AS153)</f>
      </c>
      <c r="X156" s="139">
        <f>IF(SUM(AS158:AT158)=0,"",AT158&amp;":"&amp;AS158)</f>
      </c>
      <c r="Y156" s="335"/>
      <c r="Z156" s="139">
        <f>IF(SUM(AS152:AT152)=0,"",AS152&amp;":"&amp;AT152)</f>
      </c>
      <c r="AA156" s="140" t="str">
        <f>IF(SUM(AS159:AT159)=0,"",AT159&amp;":"&amp;AS159)</f>
        <v>26:24</v>
      </c>
      <c r="AB156" s="316"/>
      <c r="AC156" s="266"/>
      <c r="AD156" s="266"/>
      <c r="AE156" s="269"/>
      <c r="AF156" s="136"/>
      <c r="AG156" s="174" t="s">
        <v>61</v>
      </c>
      <c r="AH156" s="162">
        <f>IF(ISBLANK(S156),"",VLOOKUP(S156,'[1]plan gier'!$X:$AN,12,FALSE))</f>
        <v>6</v>
      </c>
      <c r="AI156" s="163">
        <f>IF(ISBLANK(S156),"",VLOOKUP(S156,'[1]plan gier'!$X:$AN,13,FALSE))</f>
        <v>21</v>
      </c>
      <c r="AJ156" s="163">
        <f>IF(ISBLANK(S156),"",VLOOKUP(S156,'[1]plan gier'!$X:$AN,14,FALSE))</f>
        <v>16</v>
      </c>
      <c r="AK156" s="163">
        <f>IF(ISBLANK(S156),"",VLOOKUP(S156,'[1]plan gier'!$X:$AN,15,FALSE))</f>
        <v>21</v>
      </c>
      <c r="AL156" s="163">
        <f>IF(ISBLANK(S156),"",VLOOKUP(S156,'[1]plan gier'!$X:$AN,16,FALSE))</f>
        <v>0</v>
      </c>
      <c r="AM156" s="164">
        <f>IF(ISBLANK(S156),"",VLOOKUP(S156,'[1]plan gier'!$X:$AN,17,FALSE))</f>
        <v>0</v>
      </c>
      <c r="AN156" s="150">
        <f t="shared" si="8"/>
        <v>64</v>
      </c>
      <c r="AO156" s="165">
        <f t="shared" si="9"/>
        <v>6</v>
      </c>
      <c r="AP156" s="163">
        <f t="shared" si="9"/>
        <v>21</v>
      </c>
      <c r="AQ156" s="166">
        <f t="shared" si="9"/>
        <v>16</v>
      </c>
      <c r="AR156" s="163">
        <f t="shared" si="9"/>
        <v>21</v>
      </c>
      <c r="AS156" s="166">
        <f t="shared" si="9"/>
        <v>0</v>
      </c>
      <c r="AT156" s="164">
        <f t="shared" si="9"/>
        <v>0</v>
      </c>
      <c r="AU156" s="136"/>
      <c r="AV156" s="188"/>
      <c r="AW156" s="188"/>
      <c r="AX156" s="188"/>
      <c r="AY156" s="188"/>
      <c r="AZ156" s="188"/>
      <c r="BA156" s="188"/>
      <c r="BF156" s="12">
        <f aca="true" t="shared" si="10" ref="BF156:BK156">SUM(BF151:BF155)</f>
        <v>782</v>
      </c>
      <c r="BG156" s="12">
        <f t="shared" si="10"/>
        <v>782</v>
      </c>
      <c r="BH156" s="12">
        <f t="shared" si="10"/>
        <v>22</v>
      </c>
      <c r="BI156" s="12">
        <f t="shared" si="10"/>
        <v>22</v>
      </c>
      <c r="BJ156" s="12">
        <f t="shared" si="10"/>
        <v>10</v>
      </c>
      <c r="BK156" s="12">
        <f t="shared" si="10"/>
        <v>10</v>
      </c>
      <c r="BM156" s="189">
        <f>SUM(BM151:BM155)</f>
        <v>0</v>
      </c>
    </row>
    <row r="157" spans="1:53" s="12" customFormat="1" ht="11.25" customHeight="1">
      <c r="A157" s="12">
        <f t="shared" si="7"/>
        <v>40</v>
      </c>
      <c r="B157" s="12" t="str">
        <f>IF(N158="","",N158)</f>
        <v>M0028</v>
      </c>
      <c r="C157" s="12">
        <f>IF(N159="","",N159)</f>
      </c>
      <c r="D157" s="12" t="str">
        <f>IF(N149="","",N149)</f>
        <v>B0009</v>
      </c>
      <c r="E157" s="12">
        <f>IF(N150="","",N150)</f>
      </c>
      <c r="J157" s="23"/>
      <c r="K157" s="23"/>
      <c r="M157" s="12" t="str">
        <f>N148</f>
        <v>Old Boys</v>
      </c>
      <c r="N157" s="28"/>
      <c r="O157" s="23"/>
      <c r="P157" s="23"/>
      <c r="Q157" s="40">
        <f>IF(AN157&gt;0,"",IF(A157=0,"",IF(VLOOKUP(A157,'[1]plan gier'!A:S,19,FALSE)="","",VLOOKUP(A157,'[1]plan gier'!A:S,19,FALSE))))</f>
      </c>
      <c r="R157" s="172" t="s">
        <v>62</v>
      </c>
      <c r="S157" s="42">
        <v>40</v>
      </c>
      <c r="T157" s="279">
        <v>4</v>
      </c>
      <c r="U157" s="280">
        <f>IF(AND(N158&lt;&gt;"",N159&lt;&gt;""),CONCATENATE(VLOOKUP(N158,'[1]zawodnicy'!$A:$E,1,FALSE)," ",VLOOKUP(N158,'[1]zawodnicy'!$A:$E,2,FALSE)," ",VLOOKUP(N158,'[1]zawodnicy'!$A:$E,3,FALSE)," - ",VLOOKUP(N158,'[1]zawodnicy'!$A:$E,4,FALSE)),"")</f>
      </c>
      <c r="V157" s="332"/>
      <c r="W157" s="143" t="str">
        <f>IF(SUM(AO157:AP157)=0,"",AO157&amp;":"&amp;AP157)</f>
        <v>7:21</v>
      </c>
      <c r="X157" s="144" t="str">
        <f>IF(SUM(AO155:AP155)=0,"",AO155&amp;":"&amp;AP155)</f>
        <v>21:15</v>
      </c>
      <c r="Y157" s="144" t="str">
        <f>IF(SUM(AO152:AP152)=0,"",AP152&amp;":"&amp;AO152)</f>
        <v>13:21</v>
      </c>
      <c r="Z157" s="333"/>
      <c r="AA157" s="145" t="str">
        <f>IF(SUM(AO154:AP154)=0,"",AO154&amp;":"&amp;AP154)</f>
        <v>21:17</v>
      </c>
      <c r="AB157" s="336" t="str">
        <f>IF(SUM(AV154:BA154,BD154:BE154)=0,"",BF154&amp;":"&amp;BG154)</f>
        <v>117:145</v>
      </c>
      <c r="AC157" s="282" t="str">
        <f>IF(SUM(AV154:BA154,BD154:BE154)=0,"",BH154&amp;":"&amp;BI154)</f>
        <v>4:4</v>
      </c>
      <c r="AD157" s="282" t="str">
        <f>IF(SUM(AV154:BA154,BD154:BE154)=0,"",BJ154&amp;":"&amp;BK154)</f>
        <v>2:2</v>
      </c>
      <c r="AE157" s="283">
        <f>IF(SUM(BJ151:BJ155)&gt;0,BL154,"")</f>
        <v>3</v>
      </c>
      <c r="AF157" s="136"/>
      <c r="AG157" s="174" t="s">
        <v>62</v>
      </c>
      <c r="AH157" s="162">
        <f>IF(ISBLANK(S157),"",VLOOKUP(S157,'[1]plan gier'!$X:$AN,12,FALSE))</f>
        <v>7</v>
      </c>
      <c r="AI157" s="163">
        <f>IF(ISBLANK(S157),"",VLOOKUP(S157,'[1]plan gier'!$X:$AN,13,FALSE))</f>
        <v>21</v>
      </c>
      <c r="AJ157" s="163">
        <f>IF(ISBLANK(S157),"",VLOOKUP(S157,'[1]plan gier'!$X:$AN,14,FALSE))</f>
        <v>6</v>
      </c>
      <c r="AK157" s="163">
        <f>IF(ISBLANK(S157),"",VLOOKUP(S157,'[1]plan gier'!$X:$AN,15,FALSE))</f>
        <v>21</v>
      </c>
      <c r="AL157" s="163">
        <f>IF(ISBLANK(S157),"",VLOOKUP(S157,'[1]plan gier'!$X:$AN,16,FALSE))</f>
        <v>0</v>
      </c>
      <c r="AM157" s="164">
        <f>IF(ISBLANK(S157),"",VLOOKUP(S157,'[1]plan gier'!$X:$AN,17,FALSE))</f>
        <v>0</v>
      </c>
      <c r="AN157" s="150">
        <f t="shared" si="8"/>
        <v>55</v>
      </c>
      <c r="AO157" s="165">
        <f t="shared" si="9"/>
        <v>7</v>
      </c>
      <c r="AP157" s="163">
        <f t="shared" si="9"/>
        <v>21</v>
      </c>
      <c r="AQ157" s="166">
        <f t="shared" si="9"/>
        <v>6</v>
      </c>
      <c r="AR157" s="163">
        <f t="shared" si="9"/>
        <v>21</v>
      </c>
      <c r="AS157" s="166">
        <f t="shared" si="9"/>
        <v>0</v>
      </c>
      <c r="AT157" s="164">
        <f t="shared" si="9"/>
        <v>0</v>
      </c>
      <c r="AU157" s="136"/>
      <c r="AV157" s="188"/>
      <c r="AW157" s="188"/>
      <c r="AX157" s="188"/>
      <c r="AY157" s="188"/>
      <c r="AZ157" s="188"/>
      <c r="BA157" s="188"/>
    </row>
    <row r="158" spans="1:53" s="12" customFormat="1" ht="11.25" customHeight="1">
      <c r="A158" s="12">
        <f t="shared" si="7"/>
        <v>41</v>
      </c>
      <c r="B158" s="12" t="str">
        <f>IF(N152="","",N152)</f>
        <v>K0003</v>
      </c>
      <c r="C158" s="12">
        <f>IF(N153="","",N153)</f>
      </c>
      <c r="D158" s="12" t="str">
        <f>IF(N155="","",N155)</f>
        <v>M0008</v>
      </c>
      <c r="E158" s="12">
        <f>IF(N156="","",N156)</f>
      </c>
      <c r="M158" s="12" t="str">
        <f>N148</f>
        <v>Old Boys</v>
      </c>
      <c r="N158" s="30" t="s">
        <v>63</v>
      </c>
      <c r="O158" s="23"/>
      <c r="P158" s="23"/>
      <c r="Q158" s="40">
        <f>IF(AN158&gt;0,"",IF(A158=0,"",IF(VLOOKUP(A158,'[1]plan gier'!A:S,19,FALSE)="","",VLOOKUP(A158,'[1]plan gier'!A:S,19,FALSE))))</f>
      </c>
      <c r="R158" s="172" t="s">
        <v>17</v>
      </c>
      <c r="S158" s="42">
        <v>41</v>
      </c>
      <c r="T158" s="260"/>
      <c r="U158" s="271" t="str">
        <f>IF(AND(N158&lt;&gt;"",N159=""),CONCATENATE(VLOOKUP(N158,'[1]zawodnicy'!$A:$E,1,FALSE)," ",VLOOKUP(N158,'[1]zawodnicy'!$A:$E,2,FALSE)," ",VLOOKUP(N158,'[1]zawodnicy'!$A:$E,3,FALSE)," - ",VLOOKUP(N158,'[1]zawodnicy'!$A:$E,4,FALSE)),"")</f>
        <v>M0028 Kazimierz MOSKAL - Ropczyce</v>
      </c>
      <c r="V158" s="317"/>
      <c r="W158" s="161" t="str">
        <f>IF(SUM(AQ157:AR157)=0,"",AQ157&amp;":"&amp;AR157)</f>
        <v>6:21</v>
      </c>
      <c r="X158" s="137" t="str">
        <f>IF(SUM(AQ155:AR155)=0,"",AQ155&amp;":"&amp;AR155)</f>
        <v>21:16</v>
      </c>
      <c r="Y158" s="137" t="str">
        <f>IF(SUM(AQ152:AR152)=0,"",AR152&amp;":"&amp;AQ152)</f>
        <v>7:21</v>
      </c>
      <c r="Z158" s="334"/>
      <c r="AA158" s="138" t="str">
        <f>IF(SUM(AQ154:AR154)=0,"",AQ154&amp;":"&amp;AR154)</f>
        <v>21:13</v>
      </c>
      <c r="AB158" s="315"/>
      <c r="AC158" s="265"/>
      <c r="AD158" s="265"/>
      <c r="AE158" s="268"/>
      <c r="AF158" s="136"/>
      <c r="AG158" s="174" t="s">
        <v>17</v>
      </c>
      <c r="AH158" s="162">
        <f>IF(ISBLANK(S158),"",VLOOKUP(S158,'[1]plan gier'!$X:$AN,12,FALSE))</f>
        <v>17</v>
      </c>
      <c r="AI158" s="163">
        <f>IF(ISBLANK(S158),"",VLOOKUP(S158,'[1]plan gier'!$X:$AN,13,FALSE))</f>
        <v>21</v>
      </c>
      <c r="AJ158" s="163">
        <f>IF(ISBLANK(S158),"",VLOOKUP(S158,'[1]plan gier'!$X:$AN,14,FALSE))</f>
        <v>15</v>
      </c>
      <c r="AK158" s="163">
        <f>IF(ISBLANK(S158),"",VLOOKUP(S158,'[1]plan gier'!$X:$AN,15,FALSE))</f>
        <v>21</v>
      </c>
      <c r="AL158" s="163">
        <f>IF(ISBLANK(S158),"",VLOOKUP(S158,'[1]plan gier'!$X:$AN,16,FALSE))</f>
        <v>0</v>
      </c>
      <c r="AM158" s="164">
        <f>IF(ISBLANK(S158),"",VLOOKUP(S158,'[1]plan gier'!$X:$AN,17,FALSE))</f>
        <v>0</v>
      </c>
      <c r="AN158" s="150">
        <f t="shared" si="8"/>
        <v>74</v>
      </c>
      <c r="AO158" s="165">
        <f t="shared" si="9"/>
        <v>17</v>
      </c>
      <c r="AP158" s="163">
        <f t="shared" si="9"/>
        <v>21</v>
      </c>
      <c r="AQ158" s="166">
        <f t="shared" si="9"/>
        <v>15</v>
      </c>
      <c r="AR158" s="163">
        <f t="shared" si="9"/>
        <v>21</v>
      </c>
      <c r="AS158" s="166">
        <f t="shared" si="9"/>
        <v>0</v>
      </c>
      <c r="AT158" s="164">
        <f t="shared" si="9"/>
        <v>0</v>
      </c>
      <c r="AU158" s="136"/>
      <c r="AV158" s="188"/>
      <c r="AW158" s="188"/>
      <c r="AX158" s="188"/>
      <c r="AY158" s="188"/>
      <c r="AZ158" s="188"/>
      <c r="BA158" s="188"/>
    </row>
    <row r="159" spans="1:53" s="12" customFormat="1" ht="11.25" customHeight="1">
      <c r="A159" s="12">
        <f t="shared" si="7"/>
        <v>42</v>
      </c>
      <c r="B159" s="12" t="str">
        <f>IF(N161="","",N161)</f>
        <v>K0040</v>
      </c>
      <c r="C159" s="12">
        <f>IF(N162="","",N162)</f>
      </c>
      <c r="D159" s="12" t="str">
        <f>IF(N155="","",N155)</f>
        <v>M0008</v>
      </c>
      <c r="E159" s="12">
        <f>IF(N156="","",N156)</f>
      </c>
      <c r="J159" s="23"/>
      <c r="K159" s="23"/>
      <c r="M159" s="12" t="str">
        <f>N148</f>
        <v>Old Boys</v>
      </c>
      <c r="N159" s="35"/>
      <c r="O159" s="23"/>
      <c r="P159" s="23"/>
      <c r="Q159" s="40">
        <f>IF(AN159&gt;0,"",IF(A159=0,"",IF(VLOOKUP(A159,'[1]plan gier'!A:S,19,FALSE)="","",VLOOKUP(A159,'[1]plan gier'!A:S,19,FALSE))))</f>
      </c>
      <c r="R159" s="172" t="s">
        <v>64</v>
      </c>
      <c r="S159" s="42">
        <v>42</v>
      </c>
      <c r="T159" s="261"/>
      <c r="U159" s="273">
        <f>IF(N159&lt;&gt;"",CONCATENATE(VLOOKUP(N159,'[1]zawodnicy'!$A:$E,1,FALSE)," ",VLOOKUP(N159,'[1]zawodnicy'!$A:$E,2,FALSE)," ",VLOOKUP(N159,'[1]zawodnicy'!$A:$E,3,FALSE)," - ",VLOOKUP(N159,'[1]zawodnicy'!$A:$E,4,FALSE)),"")</f>
      </c>
      <c r="V159" s="318"/>
      <c r="W159" s="173">
        <f>IF(SUM(AS157:AT157)=0,"",AS157&amp;":"&amp;AT157)</f>
      </c>
      <c r="X159" s="139">
        <f>IF(SUM(AS155:AT155)=0,"",AS155&amp;":"&amp;AT155)</f>
      </c>
      <c r="Y159" s="139">
        <f>IF(SUM(AS152:AT152)=0,"",AT152&amp;":"&amp;AS152)</f>
      </c>
      <c r="Z159" s="335"/>
      <c r="AA159" s="140">
        <f>IF(SUM(AS154:AT154)=0,"",AS154&amp;":"&amp;AT154)</f>
      </c>
      <c r="AB159" s="316"/>
      <c r="AC159" s="266"/>
      <c r="AD159" s="266"/>
      <c r="AE159" s="269"/>
      <c r="AF159" s="136"/>
      <c r="AG159" s="174" t="s">
        <v>64</v>
      </c>
      <c r="AH159" s="162">
        <f>IF(ISBLANK(S159),"",VLOOKUP(S159,'[1]plan gier'!$X:$AN,12,FALSE))</f>
        <v>9</v>
      </c>
      <c r="AI159" s="163">
        <f>IF(ISBLANK(S159),"",VLOOKUP(S159,'[1]plan gier'!$X:$AN,13,FALSE))</f>
        <v>21</v>
      </c>
      <c r="AJ159" s="163">
        <f>IF(ISBLANK(S159),"",VLOOKUP(S159,'[1]plan gier'!$X:$AN,14,FALSE))</f>
        <v>23</v>
      </c>
      <c r="AK159" s="163">
        <f>IF(ISBLANK(S159),"",VLOOKUP(S159,'[1]plan gier'!$X:$AN,15,FALSE))</f>
        <v>21</v>
      </c>
      <c r="AL159" s="163">
        <f>IF(ISBLANK(S159),"",VLOOKUP(S159,'[1]plan gier'!$X:$AN,16,FALSE))</f>
        <v>24</v>
      </c>
      <c r="AM159" s="164">
        <f>IF(ISBLANK(S159),"",VLOOKUP(S159,'[1]plan gier'!$X:$AN,17,FALSE))</f>
        <v>26</v>
      </c>
      <c r="AN159" s="150">
        <f t="shared" si="8"/>
        <v>124</v>
      </c>
      <c r="AO159" s="165">
        <f t="shared" si="9"/>
        <v>9</v>
      </c>
      <c r="AP159" s="163">
        <f t="shared" si="9"/>
        <v>21</v>
      </c>
      <c r="AQ159" s="166">
        <f t="shared" si="9"/>
        <v>23</v>
      </c>
      <c r="AR159" s="163">
        <f t="shared" si="9"/>
        <v>21</v>
      </c>
      <c r="AS159" s="166">
        <f t="shared" si="9"/>
        <v>24</v>
      </c>
      <c r="AT159" s="164">
        <f t="shared" si="9"/>
        <v>26</v>
      </c>
      <c r="AU159" s="136"/>
      <c r="AV159" s="188"/>
      <c r="AW159" s="188"/>
      <c r="AX159" s="188"/>
      <c r="AY159" s="188"/>
      <c r="AZ159" s="188"/>
      <c r="BA159" s="188"/>
    </row>
    <row r="160" spans="1:53" s="12" customFormat="1" ht="11.25" customHeight="1" thickBot="1">
      <c r="A160" s="12">
        <f t="shared" si="7"/>
        <v>43</v>
      </c>
      <c r="B160" s="12" t="str">
        <f>IF(N149="","",N149)</f>
        <v>B0009</v>
      </c>
      <c r="C160" s="12">
        <f>IF(N150="","",N150)</f>
      </c>
      <c r="D160" s="12" t="str">
        <f>IF(N152="","",N152)</f>
        <v>K0003</v>
      </c>
      <c r="E160" s="12">
        <f>IF(N153="","",N153)</f>
      </c>
      <c r="J160" s="23"/>
      <c r="K160" s="23"/>
      <c r="M160" s="12" t="str">
        <f>N148</f>
        <v>Old Boys</v>
      </c>
      <c r="O160" s="23"/>
      <c r="P160" s="23"/>
      <c r="Q160" s="40">
        <f>IF(AN160&gt;0,"",IF(A160=0,"",IF(VLOOKUP(A160,'[1]plan gier'!A:S,19,FALSE)="","",VLOOKUP(A160,'[1]plan gier'!A:S,19,FALSE))))</f>
      </c>
      <c r="R160" s="172" t="s">
        <v>18</v>
      </c>
      <c r="S160" s="42">
        <v>43</v>
      </c>
      <c r="T160" s="279">
        <v>5</v>
      </c>
      <c r="U160" s="280">
        <f>IF(AND(N161&lt;&gt;"",N162&lt;&gt;""),CONCATENATE(VLOOKUP(N161,'[1]zawodnicy'!$A:$E,1,FALSE)," ",VLOOKUP(N161,'[1]zawodnicy'!$A:$E,2,FALSE)," ",VLOOKUP(N161,'[1]zawodnicy'!$A:$E,3,FALSE)," - ",VLOOKUP(N161,'[1]zawodnicy'!$A:$E,4,FALSE)),"")</f>
      </c>
      <c r="V160" s="332"/>
      <c r="W160" s="143" t="str">
        <f>IF(SUM(AO156:AP156)=0,"",AO156&amp;":"&amp;AP156)</f>
        <v>6:21</v>
      </c>
      <c r="X160" s="144" t="str">
        <f>IF(SUM(AO151:AP151)=0,"",AP151&amp;":"&amp;AO151)</f>
        <v>21:16</v>
      </c>
      <c r="Y160" s="144" t="str">
        <f>IF(SUM(AO159:AP159)=0,"",AO159&amp;":"&amp;AP159)</f>
        <v>9:21</v>
      </c>
      <c r="Z160" s="144" t="str">
        <f>IF(SUM(AO154:AP154)=0,"",AP154&amp;":"&amp;AO154)</f>
        <v>17:21</v>
      </c>
      <c r="AA160" s="339"/>
      <c r="AB160" s="336" t="str">
        <f>IF(SUM(AV155:BC155)=0,"",BF155&amp;":"&amp;BG155)</f>
        <v>166:208</v>
      </c>
      <c r="AC160" s="282" t="str">
        <f>IF(SUM(AV155:BC155)=0,"",BH155&amp;":"&amp;BI155)</f>
        <v>3:7</v>
      </c>
      <c r="AD160" s="282" t="str">
        <f>IF(SUM(AV155:BC155)=0,"",BJ155&amp;":"&amp;BK155)</f>
        <v>1:3</v>
      </c>
      <c r="AE160" s="283">
        <f>IF(SUM(BJ151:BJ155)&gt;0,BL155,"")</f>
        <v>4</v>
      </c>
      <c r="AF160" s="136"/>
      <c r="AG160" s="174" t="s">
        <v>18</v>
      </c>
      <c r="AH160" s="180">
        <f>IF(ISBLANK(S160),"",VLOOKUP(S160,'[1]plan gier'!$X:$AN,12,FALSE))</f>
        <v>21</v>
      </c>
      <c r="AI160" s="181">
        <f>IF(ISBLANK(S160),"",VLOOKUP(S160,'[1]plan gier'!$X:$AN,13,FALSE))</f>
        <v>15</v>
      </c>
      <c r="AJ160" s="181">
        <f>IF(ISBLANK(S160),"",VLOOKUP(S160,'[1]plan gier'!$X:$AN,14,FALSE))</f>
        <v>21</v>
      </c>
      <c r="AK160" s="181">
        <f>IF(ISBLANK(S160),"",VLOOKUP(S160,'[1]plan gier'!$X:$AN,15,FALSE))</f>
        <v>18</v>
      </c>
      <c r="AL160" s="181">
        <f>IF(ISBLANK(S160),"",VLOOKUP(S160,'[1]plan gier'!$X:$AN,16,FALSE))</f>
        <v>0</v>
      </c>
      <c r="AM160" s="190">
        <f>IF(ISBLANK(S160),"",VLOOKUP(S160,'[1]plan gier'!$X:$AN,17,FALSE))</f>
        <v>0</v>
      </c>
      <c r="AN160" s="150">
        <f t="shared" si="8"/>
        <v>75</v>
      </c>
      <c r="AO160" s="191">
        <f t="shared" si="9"/>
        <v>21</v>
      </c>
      <c r="AP160" s="181">
        <f t="shared" si="9"/>
        <v>15</v>
      </c>
      <c r="AQ160" s="192">
        <f t="shared" si="9"/>
        <v>21</v>
      </c>
      <c r="AR160" s="181">
        <f t="shared" si="9"/>
        <v>18</v>
      </c>
      <c r="AS160" s="192">
        <f t="shared" si="9"/>
        <v>0</v>
      </c>
      <c r="AT160" s="190">
        <f t="shared" si="9"/>
        <v>0</v>
      </c>
      <c r="AU160" s="136"/>
      <c r="AV160" s="188"/>
      <c r="AW160" s="188"/>
      <c r="AX160" s="188"/>
      <c r="AY160" s="188"/>
      <c r="AZ160" s="188"/>
      <c r="BA160" s="188"/>
    </row>
    <row r="161" spans="1:32" s="12" customFormat="1" ht="11.25" customHeight="1">
      <c r="A161" s="12">
        <f t="shared" si="7"/>
        <v>0</v>
      </c>
      <c r="N161" s="30" t="s">
        <v>65</v>
      </c>
      <c r="O161" s="23"/>
      <c r="P161" s="23"/>
      <c r="Q161" s="193"/>
      <c r="R161" s="193"/>
      <c r="S161" s="42"/>
      <c r="T161" s="260"/>
      <c r="U161" s="271" t="str">
        <f>IF(AND(N161&lt;&gt;"",N162=""),CONCATENATE(VLOOKUP(N161,'[1]zawodnicy'!$A:$E,1,FALSE)," ",VLOOKUP(N161,'[1]zawodnicy'!$A:$E,2,FALSE)," ",VLOOKUP(N161,'[1]zawodnicy'!$A:$E,3,FALSE)," - ",VLOOKUP(N161,'[1]zawodnicy'!$A:$E,4,FALSE)),"")</f>
        <v>K0040 Władysław KRUK - Ropczyce</v>
      </c>
      <c r="V161" s="317"/>
      <c r="W161" s="161" t="str">
        <f>IF(SUM(AQ156:AR156)=0,"",AQ156&amp;":"&amp;AR156)</f>
        <v>16:21</v>
      </c>
      <c r="X161" s="137" t="str">
        <f>IF(SUM(AQ151:AR151)=0,"",AR151&amp;":"&amp;AQ151)</f>
        <v>16:21</v>
      </c>
      <c r="Y161" s="137" t="str">
        <f>IF(SUM(AQ159:AR159)=0,"",AQ159&amp;":"&amp;AR159)</f>
        <v>23:21</v>
      </c>
      <c r="Z161" s="137" t="str">
        <f>IF(SUM(AQ154:AR154)=0,"",AR154&amp;":"&amp;AQ154)</f>
        <v>13:21</v>
      </c>
      <c r="AA161" s="340"/>
      <c r="AB161" s="315"/>
      <c r="AC161" s="265"/>
      <c r="AD161" s="265"/>
      <c r="AE161" s="268"/>
      <c r="AF161" s="136"/>
    </row>
    <row r="162" spans="10:32" s="12" customFormat="1" ht="11.25" customHeight="1" thickBot="1">
      <c r="J162" s="23"/>
      <c r="K162" s="23"/>
      <c r="L162" s="23"/>
      <c r="N162" s="194"/>
      <c r="O162" s="23"/>
      <c r="P162" s="23"/>
      <c r="T162" s="284"/>
      <c r="U162" s="287">
        <f>IF(N162&lt;&gt;"",CONCATENATE(VLOOKUP(N162,'[1]zawodnicy'!$A:$E,1,FALSE)," ",VLOOKUP(N162,'[1]zawodnicy'!$A:$E,2,FALSE)," ",VLOOKUP(N162,'[1]zawodnicy'!$A:$E,3,FALSE)," - ",VLOOKUP(N162,'[1]zawodnicy'!$A:$E,4,FALSE)),"")</f>
      </c>
      <c r="V162" s="343"/>
      <c r="W162" s="195">
        <f>IF(SUM(AS156:AT156)=0,"",AS156&amp;":"&amp;AT156)</f>
      </c>
      <c r="X162" s="196" t="str">
        <f>IF(SUM(AS151:AT151)=0,"",AT151&amp;":"&amp;AS151)</f>
        <v>21:19</v>
      </c>
      <c r="Y162" s="196" t="str">
        <f>IF(SUM(AS159:AT159)=0,"",AS159&amp;":"&amp;AT159)</f>
        <v>24:26</v>
      </c>
      <c r="Z162" s="196">
        <f>IF(SUM(AS154:AT154)=0,"",AT154&amp;":"&amp;AS154)</f>
      </c>
      <c r="AA162" s="341"/>
      <c r="AB162" s="342"/>
      <c r="AC162" s="285"/>
      <c r="AD162" s="285"/>
      <c r="AE162" s="286"/>
      <c r="AF162" s="136"/>
    </row>
    <row r="163" ht="11.25" customHeight="1"/>
    <row r="164" spans="13:31" ht="11.25" customHeight="1">
      <c r="M164" s="9"/>
      <c r="N164" s="10" t="s">
        <v>66</v>
      </c>
      <c r="Q164" s="253" t="str">
        <f>"Gra "&amp;N164</f>
        <v>Gra Open</v>
      </c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</row>
    <row r="165" ht="11.25" customHeight="1" thickBot="1"/>
    <row r="166" spans="14:45" ht="11.25" customHeight="1" thickBot="1">
      <c r="N166" s="197"/>
      <c r="O166" s="14">
        <v>1</v>
      </c>
      <c r="Q166" s="253" t="str">
        <f>"Grupa "&amp;O166&amp;"."</f>
        <v>Grupa 1.</v>
      </c>
      <c r="R166" s="253"/>
      <c r="S166" s="344"/>
      <c r="T166" s="15" t="s">
        <v>1</v>
      </c>
      <c r="U166" s="255" t="s">
        <v>2</v>
      </c>
      <c r="V166" s="309"/>
      <c r="W166" s="15">
        <v>1</v>
      </c>
      <c r="X166" s="127">
        <v>2</v>
      </c>
      <c r="Y166" s="17">
        <v>3</v>
      </c>
      <c r="Z166" s="16">
        <v>4</v>
      </c>
      <c r="AA166" s="198" t="s">
        <v>3</v>
      </c>
      <c r="AB166" s="133" t="s">
        <v>4</v>
      </c>
      <c r="AC166" s="20" t="s">
        <v>5</v>
      </c>
      <c r="AD166" s="199" t="s">
        <v>6</v>
      </c>
      <c r="AE166" s="22"/>
      <c r="AF166" s="22"/>
      <c r="AH166" s="270" t="s">
        <v>9</v>
      </c>
      <c r="AI166" s="270"/>
      <c r="AJ166" s="270"/>
      <c r="AK166" s="270"/>
      <c r="AL166" s="270"/>
      <c r="AM166" s="270"/>
      <c r="AN166" s="270" t="s">
        <v>10</v>
      </c>
      <c r="AO166" s="270"/>
      <c r="AP166" s="270"/>
      <c r="AQ166" s="270"/>
      <c r="AR166" s="270"/>
      <c r="AS166" s="270"/>
    </row>
    <row r="167" spans="14:32" ht="11.25" customHeight="1">
      <c r="N167" s="24" t="s">
        <v>66</v>
      </c>
      <c r="Q167" s="257" t="s">
        <v>7</v>
      </c>
      <c r="R167" s="257"/>
      <c r="S167" s="308" t="s">
        <v>8</v>
      </c>
      <c r="T167" s="260">
        <v>1</v>
      </c>
      <c r="U167" s="271">
        <f>IF(AND(N168&lt;&gt;"",N169&lt;&gt;""),CONCATENATE(VLOOKUP(N168,'[1]zawodnicy'!$A:$E,1,FALSE)," ",VLOOKUP(N168,'[1]zawodnicy'!$A:$E,2,FALSE)," ",VLOOKUP(N168,'[1]zawodnicy'!$A:$E,3,FALSE)," - ",VLOOKUP(N168,'[1]zawodnicy'!$A:$E,4,FALSE)),"")</f>
      </c>
      <c r="V167" s="317"/>
      <c r="W167" s="32"/>
      <c r="X167" s="33" t="str">
        <f>IF(SUM(AN175:AO175)=0,"",AN175&amp;":"&amp;AO175)</f>
        <v>21:7</v>
      </c>
      <c r="Y167" s="33" t="str">
        <f>IF(SUM(AN170:AO170)=0,"",AN170&amp;":"&amp;AO170)</f>
        <v>21:18</v>
      </c>
      <c r="Z167" s="200" t="str">
        <f>IF(SUM(AN172:AO172)=0,"",AN172&amp;":"&amp;AO172)</f>
        <v>21:17</v>
      </c>
      <c r="AA167" s="260" t="str">
        <f>IF(SUM(AX170:BC170)=0,"",BD170&amp;":"&amp;BE170)</f>
        <v>127:74</v>
      </c>
      <c r="AB167" s="265" t="str">
        <f>IF(SUM(AX170:BC170)=0,"",BF170&amp;":"&amp;BG170)</f>
        <v>6:0</v>
      </c>
      <c r="AC167" s="265" t="str">
        <f>IF(SUM(AX170:BC170)=0,"",BH170&amp;":"&amp;BI170)</f>
        <v>3:0</v>
      </c>
      <c r="AD167" s="268">
        <f>IF(SUM(BH170:BH173)&gt;0,BJ170,"")</f>
        <v>1</v>
      </c>
      <c r="AE167" s="22"/>
      <c r="AF167" s="22"/>
    </row>
    <row r="168" spans="8:32" ht="11.25" customHeight="1" thickBot="1">
      <c r="H168" s="29"/>
      <c r="I168" s="2" t="str">
        <f>"1"&amp;O166&amp;N167</f>
        <v>11Open</v>
      </c>
      <c r="J168" s="29" t="str">
        <f>IF(AD167="","",IF(AD167=1,N168,IF(AD170=1,N171,IF(AD173=1,N174,IF(AD176=1,N177,"")))))</f>
        <v>P0003</v>
      </c>
      <c r="K168" s="29">
        <f>IF(AD167="","",IF(AD167=1,N169,IF(AD170=1,N172,IF(AD173=1,N175,IF(AD176=1,N178,"")))))</f>
        <v>0</v>
      </c>
      <c r="L168" s="29"/>
      <c r="N168" s="30" t="s">
        <v>67</v>
      </c>
      <c r="O168" s="31">
        <f>IF(O166&gt;0,(O166&amp;1)*1,"")</f>
        <v>11</v>
      </c>
      <c r="Q168" s="257"/>
      <c r="R168" s="257"/>
      <c r="S168" s="308"/>
      <c r="T168" s="260"/>
      <c r="U168" s="271" t="str">
        <f>IF(AND(N168&lt;&gt;"",N169=""),CONCATENATE(VLOOKUP(N168,'[1]zawodnicy'!$A:$E,1,FALSE)," ",VLOOKUP(N168,'[1]zawodnicy'!$A:$E,2,FALSE)," ",VLOOKUP(N168,'[1]zawodnicy'!$A:$E,3,FALSE)," - ",VLOOKUP(N168,'[1]zawodnicy'!$A:$E,4,FALSE)),"")</f>
        <v>P0003 Łukasz PIENIĄŻEK - Rzeszów</v>
      </c>
      <c r="V168" s="317"/>
      <c r="W168" s="32"/>
      <c r="X168" s="33" t="str">
        <f>IF(SUM(AP175:AQ175)=0,"",AP175&amp;":"&amp;AQ175)</f>
        <v>21:4</v>
      </c>
      <c r="Y168" s="33" t="str">
        <f>IF(SUM(AP170:AQ170)=0,"",AP170&amp;":"&amp;AQ170)</f>
        <v>21:8</v>
      </c>
      <c r="Z168" s="200" t="str">
        <f>IF(SUM(AP172:AQ172)=0,"",AP172&amp;":"&amp;AQ172)</f>
        <v>22:20</v>
      </c>
      <c r="AA168" s="260"/>
      <c r="AB168" s="265"/>
      <c r="AC168" s="265"/>
      <c r="AD168" s="268"/>
      <c r="AE168" s="22"/>
      <c r="AF168" s="22"/>
    </row>
    <row r="169" spans="10:62" ht="11.25" customHeight="1" thickBot="1">
      <c r="J169" s="29"/>
      <c r="K169" s="23"/>
      <c r="L169" s="23"/>
      <c r="N169" s="35"/>
      <c r="O169" s="23"/>
      <c r="P169" s="23"/>
      <c r="Q169" s="257"/>
      <c r="R169" s="257"/>
      <c r="S169" s="308"/>
      <c r="T169" s="261"/>
      <c r="U169" s="273">
        <f>IF(N169&lt;&gt;"",CONCATENATE(VLOOKUP(N169,'[1]zawodnicy'!$A:$E,1,FALSE)," ",VLOOKUP(N169,'[1]zawodnicy'!$A:$E,2,FALSE)," ",VLOOKUP(N169,'[1]zawodnicy'!$A:$E,3,FALSE)," - ",VLOOKUP(N169,'[1]zawodnicy'!$A:$E,4,FALSE)),"")</f>
      </c>
      <c r="V169" s="318"/>
      <c r="W169" s="32"/>
      <c r="X169" s="36">
        <f>IF(SUM(AR175:AS175)=0,"",AR175&amp;":"&amp;AS175)</f>
      </c>
      <c r="Y169" s="36">
        <f>IF(SUM(AR170:AS170)=0,"",AR170&amp;":"&amp;AS170)</f>
      </c>
      <c r="Z169" s="201">
        <f>IF(SUM(AR172:AS172)=0,"",AR172&amp;":"&amp;AS172)</f>
      </c>
      <c r="AA169" s="260"/>
      <c r="AB169" s="265"/>
      <c r="AC169" s="265"/>
      <c r="AD169" s="268"/>
      <c r="AE169" s="22"/>
      <c r="AF169" s="22"/>
      <c r="AH169" s="345" t="s">
        <v>12</v>
      </c>
      <c r="AI169" s="329"/>
      <c r="AJ169" s="329" t="s">
        <v>13</v>
      </c>
      <c r="AK169" s="329"/>
      <c r="AL169" s="329" t="s">
        <v>14</v>
      </c>
      <c r="AM169" s="329"/>
      <c r="AN169" s="345" t="s">
        <v>12</v>
      </c>
      <c r="AO169" s="329"/>
      <c r="AP169" s="329" t="s">
        <v>13</v>
      </c>
      <c r="AQ169" s="329"/>
      <c r="AR169" s="329" t="s">
        <v>14</v>
      </c>
      <c r="AS169" s="330"/>
      <c r="AV169" s="345">
        <v>1</v>
      </c>
      <c r="AW169" s="329"/>
      <c r="AX169" s="329">
        <v>2</v>
      </c>
      <c r="AY169" s="329"/>
      <c r="AZ169" s="329">
        <v>3</v>
      </c>
      <c r="BA169" s="329"/>
      <c r="BB169" s="329">
        <v>4</v>
      </c>
      <c r="BC169" s="330"/>
      <c r="BD169" s="345" t="s">
        <v>3</v>
      </c>
      <c r="BE169" s="330"/>
      <c r="BF169" s="345" t="s">
        <v>4</v>
      </c>
      <c r="BG169" s="330"/>
      <c r="BH169" s="345" t="s">
        <v>5</v>
      </c>
      <c r="BI169" s="277"/>
      <c r="BJ169" s="38" t="s">
        <v>6</v>
      </c>
    </row>
    <row r="170" spans="1:63" ht="11.25" customHeight="1">
      <c r="A170" s="12">
        <f aca="true" t="shared" si="11" ref="A170:A175">S170</f>
        <v>44</v>
      </c>
      <c r="B170" s="12" t="str">
        <f>IF(N168="","",N168)</f>
        <v>P0003</v>
      </c>
      <c r="C170" s="12">
        <f>IF(N169="","",N169)</f>
      </c>
      <c r="D170" s="12" t="str">
        <f>IF(N174="","",N174)</f>
        <v>K0014</v>
      </c>
      <c r="E170" s="12">
        <f>IF(N175="","",N175)</f>
      </c>
      <c r="H170" s="29"/>
      <c r="I170" s="2" t="str">
        <f>"2"&amp;O166&amp;N167</f>
        <v>21Open</v>
      </c>
      <c r="J170" s="29" t="str">
        <f>IF(AD170="","",IF(AD167=2,N168,IF(AD170=2,N171,IF(AD173=2,N174,IF(AD176=2,N177,"")))))</f>
        <v>K0014</v>
      </c>
      <c r="K170" s="29">
        <f>IF(AD170="","",IF(AD167=2,N169,IF(AD170=2,N172,IF(AD173=2,N175,IF(AD176=2,N178,"")))))</f>
        <v>0</v>
      </c>
      <c r="L170" s="29"/>
      <c r="M170" s="39" t="str">
        <f>N167</f>
        <v>Open</v>
      </c>
      <c r="O170" s="23"/>
      <c r="P170" s="23"/>
      <c r="Q170" s="40">
        <f>IF(AT170&gt;0,"",IF(A170=0,"",IF(VLOOKUP(A170,'[1]plan gier'!A:S,19,FALSE)="","",VLOOKUP(A170,'[1]plan gier'!A:S,19,FALSE))))</f>
      </c>
      <c r="R170" s="41" t="s">
        <v>15</v>
      </c>
      <c r="S170" s="202">
        <v>44</v>
      </c>
      <c r="T170" s="279">
        <v>2</v>
      </c>
      <c r="U170" s="280">
        <f>IF(AND(N171&lt;&gt;"",N172&lt;&gt;""),CONCATENATE(VLOOKUP(N171,'[1]zawodnicy'!$A:$E,1,FALSE)," ",VLOOKUP(N171,'[1]zawodnicy'!$A:$E,2,FALSE)," ",VLOOKUP(N171,'[1]zawodnicy'!$A:$E,3,FALSE)," - ",VLOOKUP(N171,'[1]zawodnicy'!$A:$E,4,FALSE)),"")</f>
      </c>
      <c r="V170" s="332"/>
      <c r="W170" s="43" t="str">
        <f>IF(SUM(AN175:AO175)=0,"",AO175&amp;":"&amp;AN175)</f>
        <v>7:21</v>
      </c>
      <c r="X170" s="203"/>
      <c r="Y170" s="80" t="str">
        <f>IF(SUM(AN173:AO173)=0,"",AN173&amp;":"&amp;AO173)</f>
        <v>21:15</v>
      </c>
      <c r="Z170" s="45" t="str">
        <f>IF(SUM(AN171:AO171)=0,"",AN171&amp;":"&amp;AO171)</f>
        <v>21:17</v>
      </c>
      <c r="AA170" s="279" t="str">
        <f>IF(SUM(AV171:AW171,AZ171:BC171)=0,"",BD171&amp;":"&amp;BE171)</f>
        <v>107:134</v>
      </c>
      <c r="AB170" s="282" t="str">
        <f>IF(SUM(AV171:AW171,AZ171:BC171)=0,"",BF171&amp;":"&amp;BG171)</f>
        <v>3:4</v>
      </c>
      <c r="AC170" s="282" t="str">
        <f>IF(SUM(AV171:AW171,AZ171:BC171)=0,"",BH171&amp;":"&amp;BI171)</f>
        <v>1:2</v>
      </c>
      <c r="AD170" s="283">
        <f>IF(SUM(BH170:BH173)&gt;0,BJ171,"")</f>
        <v>3</v>
      </c>
      <c r="AE170" s="22"/>
      <c r="AF170" s="22"/>
      <c r="AG170" s="41" t="s">
        <v>15</v>
      </c>
      <c r="AH170" s="204">
        <f>IF(ISBLANK(S170),"",VLOOKUP(S170,'[1]plan gier'!$X:$AN,12,FALSE))</f>
        <v>21</v>
      </c>
      <c r="AI170" s="49">
        <f>IF(ISBLANK(S170),"",VLOOKUP(S170,'[1]plan gier'!$X:$AN,13,FALSE))</f>
        <v>18</v>
      </c>
      <c r="AJ170" s="49">
        <f>IF(ISBLANK(S170),"",VLOOKUP(S170,'[1]plan gier'!$X:$AN,14,FALSE))</f>
        <v>21</v>
      </c>
      <c r="AK170" s="49">
        <f>IF(ISBLANK(S170),"",VLOOKUP(S170,'[1]plan gier'!$X:$AN,15,FALSE))</f>
        <v>8</v>
      </c>
      <c r="AL170" s="49">
        <f>IF(ISBLANK(S170),"",VLOOKUP(S170,'[1]plan gier'!$X:$AN,16,FALSE))</f>
        <v>0</v>
      </c>
      <c r="AM170" s="49">
        <f>IF(ISBLANK(S170),"",VLOOKUP(S170,'[1]plan gier'!$X:$AN,17,FALSE))</f>
        <v>0</v>
      </c>
      <c r="AN170" s="46">
        <f aca="true" t="shared" si="12" ref="AN170:AS175">IF(AH170="",0,AH170)</f>
        <v>21</v>
      </c>
      <c r="AO170" s="47">
        <f t="shared" si="12"/>
        <v>18</v>
      </c>
      <c r="AP170" s="47">
        <f t="shared" si="12"/>
        <v>21</v>
      </c>
      <c r="AQ170" s="47">
        <f t="shared" si="12"/>
        <v>8</v>
      </c>
      <c r="AR170" s="47">
        <f t="shared" si="12"/>
        <v>0</v>
      </c>
      <c r="AS170" s="55">
        <f t="shared" si="12"/>
        <v>0</v>
      </c>
      <c r="AT170" s="205">
        <f aca="true" t="shared" si="13" ref="AT170:AT175">SUM(AN170:AS170)</f>
        <v>68</v>
      </c>
      <c r="AU170" s="87">
        <v>1</v>
      </c>
      <c r="AV170" s="346"/>
      <c r="AW170" s="347"/>
      <c r="AX170" s="47">
        <f>IF(AH175&gt;AI175,1,0)+IF(AJ175&gt;AK175,1,0)+IF(AL175&gt;AM175,1,0)</f>
        <v>2</v>
      </c>
      <c r="AY170" s="47">
        <f>AV171</f>
        <v>0</v>
      </c>
      <c r="AZ170" s="47">
        <f>IF(AH170&gt;AI170,1,0)+IF(AJ170&gt;AK170,1,0)+IF(AL170&gt;AM170,1,0)</f>
        <v>2</v>
      </c>
      <c r="BA170" s="49">
        <f>AV172</f>
        <v>0</v>
      </c>
      <c r="BB170" s="206">
        <f>IF(AH172&gt;AI172,1,0)+IF(AJ172&gt;AK172,1,0)+IF(AL172&gt;AM172,1,0)</f>
        <v>2</v>
      </c>
      <c r="BC170" s="56">
        <f>AV173</f>
        <v>0</v>
      </c>
      <c r="BD170" s="204">
        <f>AN170+AP170+AR170+AN172+AP172+AR172+AN175+AP175+AR175</f>
        <v>127</v>
      </c>
      <c r="BE170" s="207">
        <f>AO170+AQ170+AS170+AO172+AQ172+AS172+AO175+AQ175+AS175</f>
        <v>74</v>
      </c>
      <c r="BF170" s="204">
        <f>AX170+AZ170+BB170</f>
        <v>6</v>
      </c>
      <c r="BG170" s="208">
        <f>AY170+BA170+BC170</f>
        <v>0</v>
      </c>
      <c r="BH170" s="204">
        <f>IF(AX170&gt;AY170,1,0)+IF(AZ170&gt;BA170,1,0)+IF(BB170&gt;BC170,1,0)</f>
        <v>3</v>
      </c>
      <c r="BI170" s="208">
        <f>IF(AY170&gt;AX170,1,0)+IF(BA170&gt;AZ170,1,0)+IF(BC170&gt;BB170,1,0)</f>
        <v>0</v>
      </c>
      <c r="BJ170" s="209">
        <f>IF(BH170+BI170=0,"",IF(BK170=MAX(BK170:BK173),1,IF(BK170=LARGE(BK170:BK173,2),2,IF(BK170=MIN(BK170:BK173),4,3))))</f>
        <v>1</v>
      </c>
      <c r="BK170" s="210">
        <f>IF(BH170+BI170&lt;&gt;0,BH170-BI170+(BF170-BG170)/100+(BD170-BE170)/10000,-3)</f>
        <v>3.0653</v>
      </c>
    </row>
    <row r="171" spans="1:63" ht="11.25" customHeight="1">
      <c r="A171" s="12">
        <f t="shared" si="11"/>
        <v>45</v>
      </c>
      <c r="B171" s="12" t="str">
        <f>IF(N171="","",N171)</f>
        <v>M0019</v>
      </c>
      <c r="C171" s="12">
        <f>IF(N172="","",N172)</f>
      </c>
      <c r="D171" s="12" t="str">
        <f>IF(N177="","",N177)</f>
        <v>J0005</v>
      </c>
      <c r="E171" s="12">
        <f>IF(N178="","",N178)</f>
      </c>
      <c r="J171" s="29"/>
      <c r="K171" s="12"/>
      <c r="L171" s="12"/>
      <c r="M171" s="39" t="str">
        <f>N167</f>
        <v>Open</v>
      </c>
      <c r="N171" s="30" t="s">
        <v>68</v>
      </c>
      <c r="O171" s="31">
        <f>IF(O166&gt;0,(O166&amp;2)*1,"")</f>
        <v>12</v>
      </c>
      <c r="Q171" s="40">
        <f>IF(AT171&gt;0,"",IF(A171=0,"",IF(VLOOKUP(A171,'[1]plan gier'!A:S,19,FALSE)="","",VLOOKUP(A171,'[1]plan gier'!A:S,19,FALSE))))</f>
      </c>
      <c r="R171" s="41" t="s">
        <v>69</v>
      </c>
      <c r="S171" s="202">
        <v>45</v>
      </c>
      <c r="T171" s="260"/>
      <c r="U171" s="271" t="str">
        <f>IF(AND(N171&lt;&gt;"",N172=""),CONCATENATE(VLOOKUP(N171,'[1]zawodnicy'!$A:$E,1,FALSE)," ",VLOOKUP(N171,'[1]zawodnicy'!$A:$E,2,FALSE)," ",VLOOKUP(N171,'[1]zawodnicy'!$A:$E,3,FALSE)," - ",VLOOKUP(N171,'[1]zawodnicy'!$A:$E,4,FALSE)),"")</f>
        <v>M0019 Grzegorz MAC  - Rzeszów</v>
      </c>
      <c r="V171" s="317"/>
      <c r="W171" s="58" t="str">
        <f>IF(SUM(AP175:AQ175)=0,"",AQ175&amp;":"&amp;AP175)</f>
        <v>4:21</v>
      </c>
      <c r="X171" s="211"/>
      <c r="Y171" s="33" t="str">
        <f>IF(SUM(AP173:AQ173)=0,"",AP173&amp;":"&amp;AQ173)</f>
        <v>17:21</v>
      </c>
      <c r="Z171" s="34" t="str">
        <f>IF(SUM(AP171:AQ171)=0,"",AP171&amp;":"&amp;AQ171)</f>
        <v>21:18</v>
      </c>
      <c r="AA171" s="260"/>
      <c r="AB171" s="265"/>
      <c r="AC171" s="265"/>
      <c r="AD171" s="268"/>
      <c r="AE171" s="22"/>
      <c r="AF171" s="22"/>
      <c r="AG171" s="41" t="s">
        <v>69</v>
      </c>
      <c r="AH171" s="46">
        <f>IF(ISBLANK(S171),"",VLOOKUP(S171,'[1]plan gier'!$X:$AN,12,FALSE))</f>
        <v>21</v>
      </c>
      <c r="AI171" s="47">
        <f>IF(ISBLANK(S171),"",VLOOKUP(S171,'[1]plan gier'!$X:$AN,13,FALSE))</f>
        <v>17</v>
      </c>
      <c r="AJ171" s="47">
        <f>IF(ISBLANK(S171),"",VLOOKUP(S171,'[1]plan gier'!$X:$AN,14,FALSE))</f>
        <v>21</v>
      </c>
      <c r="AK171" s="47">
        <f>IF(ISBLANK(S171),"",VLOOKUP(S171,'[1]plan gier'!$X:$AN,15,FALSE))</f>
        <v>18</v>
      </c>
      <c r="AL171" s="47">
        <f>IF(ISBLANK(S171),"",VLOOKUP(S171,'[1]plan gier'!$X:$AN,16,FALSE))</f>
        <v>0</v>
      </c>
      <c r="AM171" s="47">
        <f>IF(ISBLANK(S171),"",VLOOKUP(S171,'[1]plan gier'!$X:$AN,17,FALSE))</f>
        <v>0</v>
      </c>
      <c r="AN171" s="60">
        <f t="shared" si="12"/>
        <v>21</v>
      </c>
      <c r="AO171" s="61">
        <f t="shared" si="12"/>
        <v>17</v>
      </c>
      <c r="AP171" s="61">
        <f t="shared" si="12"/>
        <v>21</v>
      </c>
      <c r="AQ171" s="61">
        <f t="shared" si="12"/>
        <v>18</v>
      </c>
      <c r="AR171" s="61">
        <f t="shared" si="12"/>
        <v>0</v>
      </c>
      <c r="AS171" s="66">
        <f t="shared" si="12"/>
        <v>0</v>
      </c>
      <c r="AT171" s="205">
        <f t="shared" si="13"/>
        <v>77</v>
      </c>
      <c r="AU171" s="87">
        <v>2</v>
      </c>
      <c r="AV171" s="60">
        <f>IF(AH175&lt;AI175,1,0)+IF(AJ175&lt;AK175,1,0)+IF(AL175&lt;AM175,1,0)</f>
        <v>0</v>
      </c>
      <c r="AW171" s="61">
        <f>AX170</f>
        <v>2</v>
      </c>
      <c r="AX171" s="212"/>
      <c r="AY171" s="213"/>
      <c r="AZ171" s="61">
        <f>IF(AH173&gt;AI173,1,0)+IF(AJ173&gt;AK173,1,0)+IF(AL173&gt;AM173,1,0)</f>
        <v>1</v>
      </c>
      <c r="BA171" s="61">
        <f>AX172</f>
        <v>2</v>
      </c>
      <c r="BB171" s="214">
        <f>IF(AH171&gt;AI171,1,0)+IF(AJ171&gt;AK171,1,0)+IF(AL171&gt;AM171,1,0)</f>
        <v>2</v>
      </c>
      <c r="BC171" s="67">
        <f>AX173</f>
        <v>0</v>
      </c>
      <c r="BD171" s="60">
        <f>AN171+AP171+AR171+AN173+AP173+AR173+AO175+AQ175+AS175</f>
        <v>107</v>
      </c>
      <c r="BE171" s="67">
        <f>AO171+AQ171+AS171+AO173+AQ173+AS173+AN175+AP175+AR175</f>
        <v>134</v>
      </c>
      <c r="BF171" s="60">
        <f>AV171+AZ171+BB171</f>
        <v>3</v>
      </c>
      <c r="BG171" s="66">
        <f>AW171+BA171+BC171</f>
        <v>4</v>
      </c>
      <c r="BH171" s="60">
        <f>IF(AV171&gt;AW171,1,0)+IF(AZ171&gt;BA171,1,0)+IF(BB171&gt;BC171,1,0)</f>
        <v>1</v>
      </c>
      <c r="BI171" s="66">
        <f>IF(AW171&gt;AV171,1,0)+IF(BA171&gt;AZ171,1,0)+IF(BC171&gt;BB171,1,0)</f>
        <v>2</v>
      </c>
      <c r="BJ171" s="68">
        <f>IF(BH171+BI171=0,"",IF(BK171=MAX(BK170:BK173),1,IF(BK171=LARGE(BK170:BK173,2),2,IF(BK171=MIN(BK170:BK173),4,3))))</f>
        <v>3</v>
      </c>
      <c r="BK171" s="210">
        <f>IF(BH171+BI171&lt;&gt;0,BH171-BI171+(BF171-BG171)/100+(BD171-BE171)/10000,-3)</f>
        <v>-1.0127</v>
      </c>
    </row>
    <row r="172" spans="1:63" ht="11.25" customHeight="1">
      <c r="A172" s="12">
        <f t="shared" si="11"/>
        <v>48</v>
      </c>
      <c r="B172" s="12" t="str">
        <f>IF(N168="","",N168)</f>
        <v>P0003</v>
      </c>
      <c r="C172" s="12">
        <f>IF(N169="","",N169)</f>
      </c>
      <c r="D172" s="12" t="str">
        <f>IF(N177="","",N177)</f>
        <v>J0005</v>
      </c>
      <c r="E172" s="12">
        <f>IF(N178="","",N178)</f>
      </c>
      <c r="H172" s="29"/>
      <c r="I172" s="2" t="str">
        <f>"3"&amp;O166&amp;N167</f>
        <v>31Open</v>
      </c>
      <c r="J172" s="29" t="str">
        <f>IF(AD173="","",IF(AD167=3,N168,IF(AD170=3,N171,IF(AD173=3,N174,IF(AD176=3,N177,"")))))</f>
        <v>M0019</v>
      </c>
      <c r="K172" s="29">
        <f>IF(AD173="","",IF(AD167=3,N169,IF(AD170=3,N172,IF(AD173=3,N175,IF(AD176=3,N178,"")))))</f>
        <v>0</v>
      </c>
      <c r="L172" s="29"/>
      <c r="M172" s="39" t="str">
        <f>N167</f>
        <v>Open</v>
      </c>
      <c r="N172" s="35"/>
      <c r="O172" s="23"/>
      <c r="P172" s="23"/>
      <c r="Q172" s="40">
        <f>IF(AT172&gt;0,"",IF(A172=0,"",IF(VLOOKUP(A172,'[1]plan gier'!A:S,19,FALSE)="","",VLOOKUP(A172,'[1]plan gier'!A:S,19,FALSE))))</f>
      </c>
      <c r="R172" s="41" t="s">
        <v>70</v>
      </c>
      <c r="S172" s="202">
        <v>48</v>
      </c>
      <c r="T172" s="261"/>
      <c r="U172" s="273">
        <f>IF(N172&lt;&gt;"",CONCATENATE(VLOOKUP(N172,'[1]zawodnicy'!$A:$E,1,FALSE)," ",VLOOKUP(N172,'[1]zawodnicy'!$A:$E,2,FALSE)," ",VLOOKUP(N172,'[1]zawodnicy'!$A:$E,3,FALSE)," - ",VLOOKUP(N172,'[1]zawodnicy'!$A:$E,4,FALSE)),"")</f>
      </c>
      <c r="V172" s="318"/>
      <c r="W172" s="70">
        <f>IF(SUM(AR175:AS175)=0,"",AS175&amp;":"&amp;AR175)</f>
      </c>
      <c r="X172" s="211"/>
      <c r="Y172" s="36" t="str">
        <f>IF(SUM(AR173:AS173)=0,"",AR173&amp;":"&amp;AS173)</f>
        <v>16:21</v>
      </c>
      <c r="Z172" s="37">
        <f>IF(SUM(AR171:AS171)=0,"",AR171&amp;":"&amp;AS171)</f>
      </c>
      <c r="AA172" s="260"/>
      <c r="AB172" s="265"/>
      <c r="AC172" s="265"/>
      <c r="AD172" s="268"/>
      <c r="AE172" s="22"/>
      <c r="AF172" s="22"/>
      <c r="AG172" s="41" t="s">
        <v>70</v>
      </c>
      <c r="AH172" s="46">
        <f>IF(ISBLANK(S172),"",VLOOKUP(S172,'[1]plan gier'!$X:$AN,12,FALSE))</f>
        <v>21</v>
      </c>
      <c r="AI172" s="47">
        <f>IF(ISBLANK(S172),"",VLOOKUP(S172,'[1]plan gier'!$X:$AN,13,FALSE))</f>
        <v>17</v>
      </c>
      <c r="AJ172" s="47">
        <f>IF(ISBLANK(S172),"",VLOOKUP(S172,'[1]plan gier'!$X:$AN,14,FALSE))</f>
        <v>22</v>
      </c>
      <c r="AK172" s="47">
        <f>IF(ISBLANK(S172),"",VLOOKUP(S172,'[1]plan gier'!$X:$AN,15,FALSE))</f>
        <v>20</v>
      </c>
      <c r="AL172" s="47">
        <f>IF(ISBLANK(S172),"",VLOOKUP(S172,'[1]plan gier'!$X:$AN,16,FALSE))</f>
        <v>0</v>
      </c>
      <c r="AM172" s="47">
        <f>IF(ISBLANK(S172),"",VLOOKUP(S172,'[1]plan gier'!$X:$AN,17,FALSE))</f>
        <v>0</v>
      </c>
      <c r="AN172" s="60">
        <f t="shared" si="12"/>
        <v>21</v>
      </c>
      <c r="AO172" s="61">
        <f t="shared" si="12"/>
        <v>17</v>
      </c>
      <c r="AP172" s="61">
        <f t="shared" si="12"/>
        <v>22</v>
      </c>
      <c r="AQ172" s="61">
        <f t="shared" si="12"/>
        <v>20</v>
      </c>
      <c r="AR172" s="61">
        <f t="shared" si="12"/>
        <v>0</v>
      </c>
      <c r="AS172" s="66">
        <f t="shared" si="12"/>
        <v>0</v>
      </c>
      <c r="AT172" s="205">
        <f t="shared" si="13"/>
        <v>80</v>
      </c>
      <c r="AU172" s="87">
        <v>3</v>
      </c>
      <c r="AV172" s="60">
        <f>IF(AH170&lt;AI170,1,0)+IF(AJ170&lt;AK170,1,0)+IF(AL170&lt;AM170,1,0)</f>
        <v>0</v>
      </c>
      <c r="AW172" s="61">
        <f>AZ170</f>
        <v>2</v>
      </c>
      <c r="AX172" s="61">
        <f>IF(AH173&lt;AI173,1,0)+IF(AJ173&lt;AK173,1,0)+IF(AL173&lt;AM173,1,0)</f>
        <v>2</v>
      </c>
      <c r="AY172" s="61">
        <f>AZ171</f>
        <v>1</v>
      </c>
      <c r="AZ172" s="212"/>
      <c r="BA172" s="213"/>
      <c r="BB172" s="61">
        <f>IF(AH174&gt;AI174,1,0)+IF(AJ174&gt;AK174,1,0)+IF(AL174&gt;AM174,1,0)</f>
        <v>2</v>
      </c>
      <c r="BC172" s="67">
        <f>AZ173</f>
        <v>0</v>
      </c>
      <c r="BD172" s="215">
        <f>AO170+AQ170+AS170+AO173+AQ173+AS173+AN174+AP174+AR174</f>
        <v>125</v>
      </c>
      <c r="BE172" s="216">
        <f>AN170+AP170+AR170+AN173+AP173+AR173+AO174+AQ174+AS174</f>
        <v>122</v>
      </c>
      <c r="BF172" s="215">
        <f>AV172+AX172+BB172</f>
        <v>4</v>
      </c>
      <c r="BG172" s="217">
        <f>AW172+AY172+BC172</f>
        <v>3</v>
      </c>
      <c r="BH172" s="60">
        <f>IF(AV172&gt;AW172,1,0)+IF(AX172&gt;AY172,1,0)+IF(BB172&gt;BC172,1,0)</f>
        <v>2</v>
      </c>
      <c r="BI172" s="66">
        <f>IF(AW172&gt;AV172,1,0)+IF(AY172&gt;AX172,1,0)+IF(BC172&gt;BB172,1,0)</f>
        <v>1</v>
      </c>
      <c r="BJ172" s="68">
        <f>IF(BH172+BI172=0,"",IF(BK172=MAX(BK170:BK173),1,IF(BK172=LARGE(BK170:BK173,2),2,IF(BK172=MIN(BK170:BK173),4,3))))</f>
        <v>2</v>
      </c>
      <c r="BK172" s="210">
        <f>IF(BH172+BI172&lt;&gt;0,BH172-BI172+(BF172-BG172)/100+(BD172-BE172)/10000,-3)</f>
        <v>1.0103</v>
      </c>
    </row>
    <row r="173" spans="1:63" ht="11.25" customHeight="1" thickBot="1">
      <c r="A173" s="12">
        <f t="shared" si="11"/>
        <v>49</v>
      </c>
      <c r="B173" s="12" t="str">
        <f>IF(N171="","",N171)</f>
        <v>M0019</v>
      </c>
      <c r="C173" s="12">
        <f>IF(N172="","",N172)</f>
      </c>
      <c r="D173" s="12" t="str">
        <f>IF(N174="","",N174)</f>
        <v>K0014</v>
      </c>
      <c r="E173" s="12">
        <f>IF(N175="","",N175)</f>
      </c>
      <c r="J173" s="29"/>
      <c r="K173" s="23"/>
      <c r="L173" s="23"/>
      <c r="M173" s="39" t="str">
        <f>N167</f>
        <v>Open</v>
      </c>
      <c r="O173" s="23"/>
      <c r="P173" s="23"/>
      <c r="Q173" s="40">
        <f>IF(AT173&gt;0,"",IF(A173=0,"",IF(VLOOKUP(A173,'[1]plan gier'!A:S,19,FALSE)="","",VLOOKUP(A173,'[1]plan gier'!A:S,19,FALSE))))</f>
      </c>
      <c r="R173" s="41" t="s">
        <v>17</v>
      </c>
      <c r="S173" s="202">
        <v>49</v>
      </c>
      <c r="T173" s="279">
        <v>3</v>
      </c>
      <c r="U173" s="280">
        <f>IF(AND(N174&lt;&gt;"",N175&lt;&gt;""),CONCATENATE(VLOOKUP(N174,'[1]zawodnicy'!$A:$E,1,FALSE)," ",VLOOKUP(N174,'[1]zawodnicy'!$A:$E,2,FALSE)," ",VLOOKUP(N174,'[1]zawodnicy'!$A:$E,3,FALSE)," - ",VLOOKUP(N174,'[1]zawodnicy'!$A:$E,4,FALSE)),"")</f>
      </c>
      <c r="V173" s="332"/>
      <c r="W173" s="43" t="str">
        <f>IF(SUM(AN170:AO170)=0,"",AO170&amp;":"&amp;AN170)</f>
        <v>18:21</v>
      </c>
      <c r="X173" s="80" t="str">
        <f>IF(SUM(AN173:AO173)=0,"",AO173&amp;":"&amp;AN173)</f>
        <v>15:21</v>
      </c>
      <c r="Y173" s="44"/>
      <c r="Z173" s="45" t="str">
        <f>IF(SUM(AN174:AO174)=0,"",AN174&amp;":"&amp;AO174)</f>
        <v>21:10</v>
      </c>
      <c r="AA173" s="279" t="str">
        <f>IF(SUM(AV172:AY172,BB172:BC172)=0,"",BD172&amp;":"&amp;BE172)</f>
        <v>125:122</v>
      </c>
      <c r="AB173" s="282" t="str">
        <f>IF(SUM(AV172:AY172,BB172:BC172)=0,"",BF172&amp;":"&amp;BG172)</f>
        <v>4:3</v>
      </c>
      <c r="AC173" s="282" t="str">
        <f>IF(SUM(AV172:AY172,BB172:BC172)=0,"",BH172&amp;":"&amp;BI172)</f>
        <v>2:1</v>
      </c>
      <c r="AD173" s="283">
        <f>IF(SUM(BH170:BH173)&gt;0,BJ172,"")</f>
        <v>2</v>
      </c>
      <c r="AE173" s="22"/>
      <c r="AF173" s="22"/>
      <c r="AG173" s="41" t="s">
        <v>17</v>
      </c>
      <c r="AH173" s="46">
        <f>IF(ISBLANK(S173),"",VLOOKUP(S173,'[1]plan gier'!$X:$AN,12,FALSE))</f>
        <v>21</v>
      </c>
      <c r="AI173" s="47">
        <f>IF(ISBLANK(S173),"",VLOOKUP(S173,'[1]plan gier'!$X:$AN,13,FALSE))</f>
        <v>15</v>
      </c>
      <c r="AJ173" s="47">
        <f>IF(ISBLANK(S173),"",VLOOKUP(S173,'[1]plan gier'!$X:$AN,14,FALSE))</f>
        <v>17</v>
      </c>
      <c r="AK173" s="47">
        <f>IF(ISBLANK(S173),"",VLOOKUP(S173,'[1]plan gier'!$X:$AN,15,FALSE))</f>
        <v>21</v>
      </c>
      <c r="AL173" s="47">
        <f>IF(ISBLANK(S173),"",VLOOKUP(S173,'[1]plan gier'!$X:$AN,16,FALSE))</f>
        <v>16</v>
      </c>
      <c r="AM173" s="47">
        <f>IF(ISBLANK(S173),"",VLOOKUP(S173,'[1]plan gier'!$X:$AN,17,FALSE))</f>
        <v>21</v>
      </c>
      <c r="AN173" s="60">
        <f t="shared" si="12"/>
        <v>21</v>
      </c>
      <c r="AO173" s="61">
        <f t="shared" si="12"/>
        <v>15</v>
      </c>
      <c r="AP173" s="61">
        <f t="shared" si="12"/>
        <v>17</v>
      </c>
      <c r="AQ173" s="61">
        <f t="shared" si="12"/>
        <v>21</v>
      </c>
      <c r="AR173" s="61">
        <f t="shared" si="12"/>
        <v>16</v>
      </c>
      <c r="AS173" s="66">
        <f t="shared" si="12"/>
        <v>21</v>
      </c>
      <c r="AT173" s="205">
        <f t="shared" si="13"/>
        <v>111</v>
      </c>
      <c r="AU173" s="87">
        <v>4</v>
      </c>
      <c r="AV173" s="218">
        <f>IF(AH172&lt;AI172,1,0)+IF(AJ172&lt;AK172,1,0)+IF(AL172&lt;AM172,1,0)</f>
        <v>0</v>
      </c>
      <c r="AW173" s="219">
        <f>BB170</f>
        <v>2</v>
      </c>
      <c r="AX173" s="219">
        <f>IF(AH171&lt;AI171,1,0)+IF(AJ171&lt;AK171,1,0)+IF(AL171&lt;AM171,1,0)</f>
        <v>0</v>
      </c>
      <c r="AY173" s="219">
        <f>BB171</f>
        <v>2</v>
      </c>
      <c r="AZ173" s="72">
        <f>IF(AH174&lt;AI174,1,0)+IF(AJ174&lt;AK174,1,0)+IF(AL174&lt;AM174,1,0)</f>
        <v>0</v>
      </c>
      <c r="BA173" s="72">
        <f>BB172</f>
        <v>2</v>
      </c>
      <c r="BB173" s="182"/>
      <c r="BC173" s="220"/>
      <c r="BD173" s="71">
        <f>AO171+AQ171+AS171+AO172+AQ172+AS172+AO174+AQ174+AS174</f>
        <v>98</v>
      </c>
      <c r="BE173" s="78">
        <f>AN171+AP171+AR171+AN172+AP172+AR172+AN174+AP174+AR174</f>
        <v>127</v>
      </c>
      <c r="BF173" s="71">
        <f>AV173+AX173+AZ173</f>
        <v>0</v>
      </c>
      <c r="BG173" s="77">
        <f>AW173+AY173+BA173</f>
        <v>6</v>
      </c>
      <c r="BH173" s="71">
        <f>IF(AV173&gt;AW173,1,0)+IF(AX173&gt;AY173,1,0)+IF(AZ173&gt;BA173,1,0)</f>
        <v>0</v>
      </c>
      <c r="BI173" s="77">
        <f>IF(AW173&gt;AV173,1,0)+IF(AY173&gt;AX173,1,0)+IF(BA173&gt;AZ173,1,0)</f>
        <v>3</v>
      </c>
      <c r="BJ173" s="79">
        <f>IF(BH173+BI173=0,"",IF(BK173=MAX(BK170:BK173),1,IF(BK173=LARGE(BK170:BK173,2),2,IF(BK173=MIN(BK170:BK173),4,3))))</f>
        <v>4</v>
      </c>
      <c r="BK173" s="210">
        <f>IF(BH173+BI173&lt;&gt;0,BH173-BI173+(BF173-BG173)/100+(BD173-BE173)/10000,-3)</f>
        <v>-3.0629</v>
      </c>
    </row>
    <row r="174" spans="1:63" ht="11.25" customHeight="1">
      <c r="A174" s="12">
        <f t="shared" si="11"/>
        <v>52</v>
      </c>
      <c r="B174" s="12" t="str">
        <f>IF(N174="","",N174)</f>
        <v>K0014</v>
      </c>
      <c r="C174" s="12">
        <f>IF(N175="","",N175)</f>
      </c>
      <c r="D174" s="12" t="str">
        <f>IF(N177="","",N177)</f>
        <v>J0005</v>
      </c>
      <c r="E174" s="12">
        <f>IF(N178="","",N178)</f>
      </c>
      <c r="H174" s="29"/>
      <c r="I174" s="2" t="str">
        <f>"4"&amp;O166&amp;N167</f>
        <v>41Open</v>
      </c>
      <c r="J174" s="29" t="str">
        <f>IF(AD176="","",IF(AD167=4,N168,IF(AD170=4,N171,IF(AD173=4,N174,IF(AD176=4,N177,"")))))</f>
        <v>J0005</v>
      </c>
      <c r="K174" s="29">
        <f>IF(AD176="","",IF(AD167=4,N169,IF(AD170=4,N172,IF(AD173=4,N175,IF(AD176=4,N178,"")))))</f>
        <v>0</v>
      </c>
      <c r="L174" s="29"/>
      <c r="M174" s="39" t="str">
        <f>N167</f>
        <v>Open</v>
      </c>
      <c r="N174" s="30" t="s">
        <v>22</v>
      </c>
      <c r="O174" s="31">
        <f>IF(O166&gt;0,(O166&amp;3)*1,"")</f>
        <v>13</v>
      </c>
      <c r="Q174" s="40">
        <f>IF(AT174&gt;0,"",IF(A174=0,"",IF(VLOOKUP(A174,'[1]plan gier'!A:S,19,FALSE)="","",VLOOKUP(A174,'[1]plan gier'!A:S,19,FALSE))))</f>
      </c>
      <c r="R174" s="41" t="s">
        <v>58</v>
      </c>
      <c r="S174" s="202">
        <v>52</v>
      </c>
      <c r="T174" s="260"/>
      <c r="U174" s="271" t="str">
        <f>IF(AND(N174&lt;&gt;"",N175=""),CONCATENATE(VLOOKUP(N174,'[1]zawodnicy'!$A:$E,1,FALSE)," ",VLOOKUP(N174,'[1]zawodnicy'!$A:$E,2,FALSE)," ",VLOOKUP(N174,'[1]zawodnicy'!$A:$E,3,FALSE)," - ",VLOOKUP(N174,'[1]zawodnicy'!$A:$E,4,FALSE)),"")</f>
        <v>K0014 Zdzisław KULA  - Tarnów</v>
      </c>
      <c r="V174" s="317"/>
      <c r="W174" s="58" t="str">
        <f>IF(SUM(AP170:AQ170)=0,"",AQ170&amp;":"&amp;AP170)</f>
        <v>8:21</v>
      </c>
      <c r="X174" s="33" t="str">
        <f>IF(SUM(AP173:AQ173)=0,"",AQ173&amp;":"&amp;AP173)</f>
        <v>21:17</v>
      </c>
      <c r="Y174" s="59"/>
      <c r="Z174" s="34" t="str">
        <f>IF(SUM(AP174:AQ174)=0,"",AP174&amp;":"&amp;AQ174)</f>
        <v>21:16</v>
      </c>
      <c r="AA174" s="260"/>
      <c r="AB174" s="265"/>
      <c r="AC174" s="265"/>
      <c r="AD174" s="268"/>
      <c r="AE174" s="22"/>
      <c r="AF174" s="22"/>
      <c r="AG174" s="41" t="s">
        <v>58</v>
      </c>
      <c r="AH174" s="46">
        <f>IF(ISBLANK(S174),"",VLOOKUP(S174,'[1]plan gier'!$X:$AN,12,FALSE))</f>
        <v>21</v>
      </c>
      <c r="AI174" s="47">
        <f>IF(ISBLANK(S174),"",VLOOKUP(S174,'[1]plan gier'!$X:$AN,13,FALSE))</f>
        <v>10</v>
      </c>
      <c r="AJ174" s="47">
        <f>IF(ISBLANK(S174),"",VLOOKUP(S174,'[1]plan gier'!$X:$AN,14,FALSE))</f>
        <v>21</v>
      </c>
      <c r="AK174" s="47">
        <f>IF(ISBLANK(S174),"",VLOOKUP(S174,'[1]plan gier'!$X:$AN,15,FALSE))</f>
        <v>16</v>
      </c>
      <c r="AL174" s="47">
        <f>IF(ISBLANK(S174),"",VLOOKUP(S174,'[1]plan gier'!$X:$AN,16,FALSE))</f>
        <v>0</v>
      </c>
      <c r="AM174" s="47">
        <f>IF(ISBLANK(S174),"",VLOOKUP(S174,'[1]plan gier'!$X:$AN,17,FALSE))</f>
        <v>0</v>
      </c>
      <c r="AN174" s="60">
        <f t="shared" si="12"/>
        <v>21</v>
      </c>
      <c r="AO174" s="61">
        <f t="shared" si="12"/>
        <v>10</v>
      </c>
      <c r="AP174" s="61">
        <f t="shared" si="12"/>
        <v>21</v>
      </c>
      <c r="AQ174" s="61">
        <f t="shared" si="12"/>
        <v>16</v>
      </c>
      <c r="AR174" s="61">
        <f t="shared" si="12"/>
        <v>0</v>
      </c>
      <c r="AS174" s="66">
        <f t="shared" si="12"/>
        <v>0</v>
      </c>
      <c r="AT174" s="205">
        <f t="shared" si="13"/>
        <v>68</v>
      </c>
      <c r="BD174" s="12">
        <f aca="true" t="shared" si="14" ref="BD174:BI174">SUM(BD170:BD173)</f>
        <v>457</v>
      </c>
      <c r="BE174" s="12">
        <f t="shared" si="14"/>
        <v>457</v>
      </c>
      <c r="BF174" s="12">
        <f t="shared" si="14"/>
        <v>13</v>
      </c>
      <c r="BG174" s="12">
        <f t="shared" si="14"/>
        <v>13</v>
      </c>
      <c r="BH174" s="12">
        <f t="shared" si="14"/>
        <v>6</v>
      </c>
      <c r="BI174" s="12">
        <f t="shared" si="14"/>
        <v>6</v>
      </c>
      <c r="BK174" s="13">
        <f>SUM(BK170:BK173)</f>
        <v>0</v>
      </c>
    </row>
    <row r="175" spans="1:46" ht="11.25" customHeight="1" thickBot="1">
      <c r="A175" s="12">
        <f t="shared" si="11"/>
        <v>53</v>
      </c>
      <c r="B175" s="12" t="str">
        <f>IF(N168="","",N168)</f>
        <v>P0003</v>
      </c>
      <c r="C175" s="12">
        <f>IF(N169="","",N169)</f>
      </c>
      <c r="D175" s="12" t="str">
        <f>IF(N171="","",N171)</f>
        <v>M0019</v>
      </c>
      <c r="E175" s="12">
        <f>IF(N172="","",N172)</f>
      </c>
      <c r="J175" s="23"/>
      <c r="K175" s="23"/>
      <c r="L175" s="23"/>
      <c r="M175" s="39" t="str">
        <f>N167</f>
        <v>Open</v>
      </c>
      <c r="N175" s="35"/>
      <c r="O175" s="23"/>
      <c r="P175" s="23"/>
      <c r="Q175" s="40">
        <f>IF(AT175&gt;0,"",IF(A175=0,"",IF(VLOOKUP(A175,'[1]plan gier'!A:S,19,FALSE)="","",VLOOKUP(A175,'[1]plan gier'!A:S,19,FALSE))))</f>
      </c>
      <c r="R175" s="41" t="s">
        <v>18</v>
      </c>
      <c r="S175" s="202">
        <v>53</v>
      </c>
      <c r="T175" s="261"/>
      <c r="U175" s="273">
        <f>IF(N175&lt;&gt;"",CONCATENATE(VLOOKUP(N175,'[1]zawodnicy'!$A:$E,1,FALSE)," ",VLOOKUP(N175,'[1]zawodnicy'!$A:$E,2,FALSE)," ",VLOOKUP(N175,'[1]zawodnicy'!$A:$E,3,FALSE)," - ",VLOOKUP(N175,'[1]zawodnicy'!$A:$E,4,FALSE)),"")</f>
      </c>
      <c r="V175" s="318"/>
      <c r="W175" s="70">
        <f>IF(SUM(AR170:AS170)=0,"",AS170&amp;":"&amp;AR170)</f>
      </c>
      <c r="X175" s="36" t="str">
        <f>IF(SUM(AR173:AS173)=0,"",AS173&amp;":"&amp;AR173)</f>
        <v>21:16</v>
      </c>
      <c r="Y175" s="59"/>
      <c r="Z175" s="37">
        <f>IF(SUM(AR174:AS174)=0,"",AR174&amp;":"&amp;AS174)</f>
      </c>
      <c r="AA175" s="260"/>
      <c r="AB175" s="265"/>
      <c r="AC175" s="265"/>
      <c r="AD175" s="268"/>
      <c r="AE175" s="22"/>
      <c r="AF175" s="22"/>
      <c r="AG175" s="41" t="s">
        <v>18</v>
      </c>
      <c r="AH175" s="218">
        <f>IF(ISBLANK(S175),"",VLOOKUP(S175,'[1]plan gier'!$X:$AN,12,FALSE))</f>
        <v>21</v>
      </c>
      <c r="AI175" s="219">
        <f>IF(ISBLANK(S175),"",VLOOKUP(S175,'[1]plan gier'!$X:$AN,13,FALSE))</f>
        <v>7</v>
      </c>
      <c r="AJ175" s="219">
        <f>IF(ISBLANK(S175),"",VLOOKUP(S175,'[1]plan gier'!$X:$AN,14,FALSE))</f>
        <v>21</v>
      </c>
      <c r="AK175" s="219">
        <f>IF(ISBLANK(S175),"",VLOOKUP(S175,'[1]plan gier'!$X:$AN,15,FALSE))</f>
        <v>4</v>
      </c>
      <c r="AL175" s="219">
        <f>IF(ISBLANK(S175),"",VLOOKUP(S175,'[1]plan gier'!$X:$AN,16,FALSE))</f>
        <v>0</v>
      </c>
      <c r="AM175" s="219">
        <f>IF(ISBLANK(S175),"",VLOOKUP(S175,'[1]plan gier'!$X:$AN,17,FALSE))</f>
        <v>0</v>
      </c>
      <c r="AN175" s="71">
        <f t="shared" si="12"/>
        <v>21</v>
      </c>
      <c r="AO175" s="72">
        <f t="shared" si="12"/>
        <v>7</v>
      </c>
      <c r="AP175" s="72">
        <f t="shared" si="12"/>
        <v>21</v>
      </c>
      <c r="AQ175" s="72">
        <f t="shared" si="12"/>
        <v>4</v>
      </c>
      <c r="AR175" s="72">
        <f t="shared" si="12"/>
        <v>0</v>
      </c>
      <c r="AS175" s="77">
        <f t="shared" si="12"/>
        <v>0</v>
      </c>
      <c r="AT175" s="205">
        <f t="shared" si="13"/>
        <v>53</v>
      </c>
    </row>
    <row r="176" spans="1:46" ht="11.25" customHeight="1">
      <c r="A176" s="2"/>
      <c r="J176" s="23"/>
      <c r="K176" s="23"/>
      <c r="L176" s="23"/>
      <c r="O176" s="23"/>
      <c r="P176" s="23"/>
      <c r="Q176" s="2"/>
      <c r="R176" s="2"/>
      <c r="S176" s="2"/>
      <c r="T176" s="279">
        <v>4</v>
      </c>
      <c r="U176" s="280">
        <f>IF(AND(N177&lt;&gt;"",N178&lt;&gt;""),CONCATENATE(VLOOKUP(N177,'[1]zawodnicy'!$A:$E,1,FALSE)," ",VLOOKUP(N177,'[1]zawodnicy'!$A:$E,2,FALSE)," ",VLOOKUP(N177,'[1]zawodnicy'!$A:$E,3,FALSE)," - ",VLOOKUP(N177,'[1]zawodnicy'!$A:$E,4,FALSE)),"")</f>
      </c>
      <c r="V176" s="332"/>
      <c r="W176" s="43" t="str">
        <f>IF(SUM(AN172:AO172)=0,"",AO172&amp;":"&amp;AN172)</f>
        <v>17:21</v>
      </c>
      <c r="X176" s="80" t="str">
        <f>IF(SUM(AN171:AO171)=0,"",AO171&amp;":"&amp;AN171)</f>
        <v>17:21</v>
      </c>
      <c r="Y176" s="80" t="str">
        <f>IF(SUM(AN174:AO174)=0,"",AO174&amp;":"&amp;AN174)</f>
        <v>10:21</v>
      </c>
      <c r="Z176" s="221"/>
      <c r="AA176" s="279" t="str">
        <f>IF(SUM(AV173:BA173)=0,"",BD173&amp;":"&amp;BE173)</f>
        <v>98:127</v>
      </c>
      <c r="AB176" s="282" t="str">
        <f>IF(SUM(AV173:BA173)=0,"",BF173&amp;":"&amp;BG173)</f>
        <v>0:6</v>
      </c>
      <c r="AC176" s="282" t="str">
        <f>IF(SUM(AV173:BA173)=0,"",BH173&amp;":"&amp;BI173)</f>
        <v>0:3</v>
      </c>
      <c r="AD176" s="283">
        <f>IF(SUM(BH170:BH173)&gt;0,BJ173,"")</f>
        <v>4</v>
      </c>
      <c r="AE176" s="22"/>
      <c r="AF176" s="2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63" ht="11.25" customHeight="1">
      <c r="A177" s="12"/>
      <c r="B177" s="12"/>
      <c r="C177" s="12"/>
      <c r="D177" s="12"/>
      <c r="E177" s="12"/>
      <c r="H177" s="29"/>
      <c r="J177" s="12"/>
      <c r="K177" s="12"/>
      <c r="L177" s="12"/>
      <c r="N177" s="30" t="s">
        <v>71</v>
      </c>
      <c r="O177" s="31">
        <f>IF(O166&gt;0,(O166&amp;4)*1,"")</f>
        <v>14</v>
      </c>
      <c r="Q177" s="82"/>
      <c r="R177" s="82"/>
      <c r="S177" s="42"/>
      <c r="T177" s="260"/>
      <c r="U177" s="271" t="str">
        <f>IF(AND(N177&lt;&gt;"",N178=""),CONCATENATE(VLOOKUP(N177,'[1]zawodnicy'!$A:$E,1,FALSE)," ",VLOOKUP(N177,'[1]zawodnicy'!$A:$E,2,FALSE)," ",VLOOKUP(N177,'[1]zawodnicy'!$A:$E,3,FALSE)," - ",VLOOKUP(N177,'[1]zawodnicy'!$A:$E,4,FALSE)),"")</f>
        <v>J0005 Tomasz JENDRYASSEK - Rzeszów</v>
      </c>
      <c r="V177" s="317"/>
      <c r="W177" s="58" t="str">
        <f>IF(SUM(AP172:AQ172)=0,"",AQ172&amp;":"&amp;AP172)</f>
        <v>20:22</v>
      </c>
      <c r="X177" s="33" t="str">
        <f>IF(SUM(AP171:AQ171)=0,"",AQ171&amp;":"&amp;AP171)</f>
        <v>18:21</v>
      </c>
      <c r="Y177" s="33" t="str">
        <f>IF(SUM(AP174:AQ174)=0,"",AQ174&amp;":"&amp;AP174)</f>
        <v>16:21</v>
      </c>
      <c r="Z177" s="222"/>
      <c r="AA177" s="260"/>
      <c r="AB177" s="265"/>
      <c r="AC177" s="265"/>
      <c r="AD177" s="268"/>
      <c r="AE177" s="22"/>
      <c r="AF177" s="2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1:63" ht="11.25" customHeight="1" thickBot="1">
      <c r="A178" s="2"/>
      <c r="J178" s="23"/>
      <c r="K178" s="23"/>
      <c r="L178" s="23"/>
      <c r="N178" s="35"/>
      <c r="O178" s="23"/>
      <c r="P178" s="23"/>
      <c r="Q178" s="2"/>
      <c r="R178" s="2"/>
      <c r="S178" s="2"/>
      <c r="T178" s="284"/>
      <c r="U178" s="287">
        <f>IF(N178&lt;&gt;"",CONCATENATE(VLOOKUP(N178,'[1]zawodnicy'!$A:$E,1,FALSE)," ",VLOOKUP(N178,'[1]zawodnicy'!$A:$E,2,FALSE)," ",VLOOKUP(N178,'[1]zawodnicy'!$A:$E,3,FALSE)," - ",VLOOKUP(N178,'[1]zawodnicy'!$A:$E,4,FALSE)),"")</f>
      </c>
      <c r="V178" s="343"/>
      <c r="W178" s="84">
        <f>IF(SUM(AR172:AS172)=0,"",AS172&amp;":"&amp;AR172)</f>
      </c>
      <c r="X178" s="85">
        <f>IF(SUM(AR171:AS171)=0,"",AS171&amp;":"&amp;AR171)</f>
      </c>
      <c r="Y178" s="85">
        <f>IF(SUM(AR174:AS174)=0,"",AS174&amp;":"&amp;AR174)</f>
      </c>
      <c r="Z178" s="86"/>
      <c r="AA178" s="284"/>
      <c r="AB178" s="285"/>
      <c r="AC178" s="285"/>
      <c r="AD178" s="286"/>
      <c r="AE178" s="22"/>
      <c r="AF178" s="2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ht="11.25" customHeight="1" thickBot="1"/>
    <row r="180" spans="14:45" ht="11.25" customHeight="1" thickBot="1">
      <c r="N180" s="197"/>
      <c r="O180" s="14">
        <v>2</v>
      </c>
      <c r="Q180" s="253" t="str">
        <f>"Grupa "&amp;O180&amp;"."</f>
        <v>Grupa 2.</v>
      </c>
      <c r="R180" s="253"/>
      <c r="S180" s="344"/>
      <c r="T180" s="15" t="s">
        <v>1</v>
      </c>
      <c r="U180" s="255" t="s">
        <v>2</v>
      </c>
      <c r="V180" s="309"/>
      <c r="W180" s="15">
        <v>1</v>
      </c>
      <c r="X180" s="127">
        <v>2</v>
      </c>
      <c r="Y180" s="17">
        <v>3</v>
      </c>
      <c r="Z180" s="16">
        <v>4</v>
      </c>
      <c r="AA180" s="198" t="s">
        <v>3</v>
      </c>
      <c r="AB180" s="133" t="s">
        <v>4</v>
      </c>
      <c r="AC180" s="20" t="s">
        <v>5</v>
      </c>
      <c r="AD180" s="199" t="s">
        <v>6</v>
      </c>
      <c r="AE180" s="22"/>
      <c r="AF180" s="22"/>
      <c r="AH180" s="270" t="s">
        <v>9</v>
      </c>
      <c r="AI180" s="270"/>
      <c r="AJ180" s="270"/>
      <c r="AK180" s="270"/>
      <c r="AL180" s="270"/>
      <c r="AM180" s="270"/>
      <c r="AN180" s="270" t="s">
        <v>10</v>
      </c>
      <c r="AO180" s="270"/>
      <c r="AP180" s="270"/>
      <c r="AQ180" s="270"/>
      <c r="AR180" s="270"/>
      <c r="AS180" s="270"/>
    </row>
    <row r="181" spans="14:32" ht="11.25" customHeight="1">
      <c r="N181" s="24" t="s">
        <v>66</v>
      </c>
      <c r="Q181" s="257" t="s">
        <v>7</v>
      </c>
      <c r="R181" s="257"/>
      <c r="S181" s="308" t="s">
        <v>8</v>
      </c>
      <c r="T181" s="260">
        <v>1</v>
      </c>
      <c r="U181" s="271">
        <f>IF(AND(N182&lt;&gt;"",N183&lt;&gt;""),CONCATENATE(VLOOKUP(N182,'[1]zawodnicy'!$A:$E,1,FALSE)," ",VLOOKUP(N182,'[1]zawodnicy'!$A:$E,2,FALSE)," ",VLOOKUP(N182,'[1]zawodnicy'!$A:$E,3,FALSE)," - ",VLOOKUP(N182,'[1]zawodnicy'!$A:$E,4,FALSE)),"")</f>
      </c>
      <c r="V181" s="317"/>
      <c r="W181" s="32"/>
      <c r="X181" s="33" t="str">
        <f>IF(SUM(AN189:AO189)=0,"",AN189&amp;":"&amp;AO189)</f>
        <v>9:21</v>
      </c>
      <c r="Y181" s="33" t="str">
        <f>IF(SUM(AN184:AO184)=0,"",AN184&amp;":"&amp;AO184)</f>
        <v>21:9</v>
      </c>
      <c r="Z181" s="200" t="str">
        <f>IF(SUM(AN186:AO186)=0,"",AN186&amp;":"&amp;AO186)</f>
        <v>21:15</v>
      </c>
      <c r="AA181" s="260" t="str">
        <f>IF(SUM(AX184:BC184)=0,"",BD184&amp;":"&amp;BE184)</f>
        <v>108:94</v>
      </c>
      <c r="AB181" s="265" t="str">
        <f>IF(SUM(AX184:BC184)=0,"",BF184&amp;":"&amp;BG184)</f>
        <v>4:2</v>
      </c>
      <c r="AC181" s="265" t="str">
        <f>IF(SUM(AX184:BC184)=0,"",BH184&amp;":"&amp;BI184)</f>
        <v>2:1</v>
      </c>
      <c r="AD181" s="268">
        <f>IF(SUM(BH184:BH187)&gt;0,BJ184,"")</f>
        <v>2</v>
      </c>
      <c r="AE181" s="22"/>
      <c r="AF181" s="22"/>
    </row>
    <row r="182" spans="8:32" ht="11.25" customHeight="1" thickBot="1">
      <c r="H182" s="29"/>
      <c r="I182" s="2" t="str">
        <f>"1"&amp;O180&amp;N181</f>
        <v>12Open</v>
      </c>
      <c r="J182" s="29" t="str">
        <f>IF(AD181="","",IF(AD181=1,N182,IF(AD184=1,N185,IF(AD187=1,N188,IF(AD190=1,N191,"")))))</f>
        <v>B0001</v>
      </c>
      <c r="K182" s="29">
        <f>IF(AD181="","",IF(AD181=1,N183,IF(AD184=1,N186,IF(AD187=1,N189,IF(AD190=1,N192,"")))))</f>
        <v>0</v>
      </c>
      <c r="L182" s="29"/>
      <c r="N182" s="30" t="s">
        <v>72</v>
      </c>
      <c r="O182" s="31">
        <f>IF(O180&gt;0,(O180&amp;1)*1,"")</f>
        <v>21</v>
      </c>
      <c r="Q182" s="257"/>
      <c r="R182" s="257"/>
      <c r="S182" s="308"/>
      <c r="T182" s="260"/>
      <c r="U182" s="271" t="str">
        <f>IF(AND(N182&lt;&gt;"",N183=""),CONCATENATE(VLOOKUP(N182,'[1]zawodnicy'!$A:$E,1,FALSE)," ",VLOOKUP(N182,'[1]zawodnicy'!$A:$E,2,FALSE)," ",VLOOKUP(N182,'[1]zawodnicy'!$A:$E,3,FALSE)," - ",VLOOKUP(N182,'[1]zawodnicy'!$A:$E,4,FALSE)),"")</f>
        <v>I0002 Igor IWAŃSKI - Mielec</v>
      </c>
      <c r="V182" s="317"/>
      <c r="W182" s="32"/>
      <c r="X182" s="33" t="str">
        <f>IF(SUM(AP189:AQ189)=0,"",AP189&amp;":"&amp;AQ189)</f>
        <v>15:21</v>
      </c>
      <c r="Y182" s="33" t="str">
        <f>IF(SUM(AP184:AQ184)=0,"",AP184&amp;":"&amp;AQ184)</f>
        <v>21:10</v>
      </c>
      <c r="Z182" s="200" t="str">
        <f>IF(SUM(AP186:AQ186)=0,"",AP186&amp;":"&amp;AQ186)</f>
        <v>21:18</v>
      </c>
      <c r="AA182" s="260"/>
      <c r="AB182" s="265"/>
      <c r="AC182" s="265"/>
      <c r="AD182" s="268"/>
      <c r="AE182" s="22"/>
      <c r="AF182" s="22"/>
    </row>
    <row r="183" spans="10:62" ht="11.25" customHeight="1" thickBot="1">
      <c r="J183" s="29"/>
      <c r="K183" s="23"/>
      <c r="L183" s="23"/>
      <c r="N183" s="35"/>
      <c r="O183" s="23"/>
      <c r="P183" s="23"/>
      <c r="Q183" s="257"/>
      <c r="R183" s="257"/>
      <c r="S183" s="308"/>
      <c r="T183" s="261"/>
      <c r="U183" s="273">
        <f>IF(N183&lt;&gt;"",CONCATENATE(VLOOKUP(N183,'[1]zawodnicy'!$A:$E,1,FALSE)," ",VLOOKUP(N183,'[1]zawodnicy'!$A:$E,2,FALSE)," ",VLOOKUP(N183,'[1]zawodnicy'!$A:$E,3,FALSE)," - ",VLOOKUP(N183,'[1]zawodnicy'!$A:$E,4,FALSE)),"")</f>
      </c>
      <c r="V183" s="318"/>
      <c r="W183" s="32"/>
      <c r="X183" s="36">
        <f>IF(SUM(AR189:AS189)=0,"",AR189&amp;":"&amp;AS189)</f>
      </c>
      <c r="Y183" s="36">
        <f>IF(SUM(AR184:AS184)=0,"",AR184&amp;":"&amp;AS184)</f>
      </c>
      <c r="Z183" s="201">
        <f>IF(SUM(AR186:AS186)=0,"",AR186&amp;":"&amp;AS186)</f>
      </c>
      <c r="AA183" s="260"/>
      <c r="AB183" s="265"/>
      <c r="AC183" s="265"/>
      <c r="AD183" s="268"/>
      <c r="AE183" s="22"/>
      <c r="AF183" s="22"/>
      <c r="AH183" s="345" t="s">
        <v>12</v>
      </c>
      <c r="AI183" s="329"/>
      <c r="AJ183" s="329" t="s">
        <v>13</v>
      </c>
      <c r="AK183" s="329"/>
      <c r="AL183" s="329" t="s">
        <v>14</v>
      </c>
      <c r="AM183" s="329"/>
      <c r="AN183" s="345" t="s">
        <v>12</v>
      </c>
      <c r="AO183" s="329"/>
      <c r="AP183" s="329" t="s">
        <v>13</v>
      </c>
      <c r="AQ183" s="329"/>
      <c r="AR183" s="329" t="s">
        <v>14</v>
      </c>
      <c r="AS183" s="330"/>
      <c r="AV183" s="345">
        <v>1</v>
      </c>
      <c r="AW183" s="329"/>
      <c r="AX183" s="329">
        <v>2</v>
      </c>
      <c r="AY183" s="329"/>
      <c r="AZ183" s="329">
        <v>3</v>
      </c>
      <c r="BA183" s="329"/>
      <c r="BB183" s="329">
        <v>4</v>
      </c>
      <c r="BC183" s="330"/>
      <c r="BD183" s="345" t="s">
        <v>3</v>
      </c>
      <c r="BE183" s="330"/>
      <c r="BF183" s="345" t="s">
        <v>4</v>
      </c>
      <c r="BG183" s="330"/>
      <c r="BH183" s="345" t="s">
        <v>5</v>
      </c>
      <c r="BI183" s="277"/>
      <c r="BJ183" s="38" t="s">
        <v>6</v>
      </c>
    </row>
    <row r="184" spans="1:63" ht="11.25" customHeight="1">
      <c r="A184" s="12">
        <f aca="true" t="shared" si="15" ref="A184:A189">S184</f>
        <v>46</v>
      </c>
      <c r="B184" s="12" t="str">
        <f>IF(N182="","",N182)</f>
        <v>I0002</v>
      </c>
      <c r="C184" s="12">
        <f>IF(N183="","",N183)</f>
      </c>
      <c r="D184" s="12" t="str">
        <f>IF(N188="","",N188)</f>
        <v>G0011</v>
      </c>
      <c r="E184" s="12">
        <f>IF(N189="","",N189)</f>
      </c>
      <c r="H184" s="29"/>
      <c r="I184" s="2" t="str">
        <f>"2"&amp;O180&amp;N181</f>
        <v>22Open</v>
      </c>
      <c r="J184" s="29" t="str">
        <f>IF(AD184="","",IF(AD181=2,N182,IF(AD184=2,N185,IF(AD187=2,N188,IF(AD190=2,N191,"")))))</f>
        <v>I0002</v>
      </c>
      <c r="K184" s="29">
        <f>IF(AD184="","",IF(AD181=2,N183,IF(AD184=2,N186,IF(AD187=2,N189,IF(AD190=2,N192,"")))))</f>
        <v>0</v>
      </c>
      <c r="L184" s="29"/>
      <c r="M184" s="39" t="str">
        <f>N181</f>
        <v>Open</v>
      </c>
      <c r="O184" s="23"/>
      <c r="P184" s="23"/>
      <c r="Q184" s="40">
        <f>IF(AT184&gt;0,"",IF(A184=0,"",IF(VLOOKUP(A184,'[1]plan gier'!A:S,19,FALSE)="","",VLOOKUP(A184,'[1]plan gier'!A:S,19,FALSE))))</f>
      </c>
      <c r="R184" s="41" t="s">
        <v>15</v>
      </c>
      <c r="S184" s="202">
        <v>46</v>
      </c>
      <c r="T184" s="279">
        <v>2</v>
      </c>
      <c r="U184" s="280">
        <f>IF(AND(N185&lt;&gt;"",N186&lt;&gt;""),CONCATENATE(VLOOKUP(N185,'[1]zawodnicy'!$A:$E,1,FALSE)," ",VLOOKUP(N185,'[1]zawodnicy'!$A:$E,2,FALSE)," ",VLOOKUP(N185,'[1]zawodnicy'!$A:$E,3,FALSE)," - ",VLOOKUP(N185,'[1]zawodnicy'!$A:$E,4,FALSE)),"")</f>
      </c>
      <c r="V184" s="332"/>
      <c r="W184" s="43" t="str">
        <f>IF(SUM(AN189:AO189)=0,"",AO189&amp;":"&amp;AN189)</f>
        <v>21:9</v>
      </c>
      <c r="X184" s="203"/>
      <c r="Y184" s="80" t="str">
        <f>IF(SUM(AN187:AO187)=0,"",AN187&amp;":"&amp;AO187)</f>
        <v>21:13</v>
      </c>
      <c r="Z184" s="45" t="str">
        <f>IF(SUM(AN185:AO185)=0,"",AN185&amp;":"&amp;AO185)</f>
        <v>21:12</v>
      </c>
      <c r="AA184" s="279" t="str">
        <f>IF(SUM(AV185:AW185,AZ185:BC185)=0,"",BD185&amp;":"&amp;BE185)</f>
        <v>126:63</v>
      </c>
      <c r="AB184" s="282" t="str">
        <f>IF(SUM(AV185:AW185,AZ185:BC185)=0,"",BF185&amp;":"&amp;BG185)</f>
        <v>6:0</v>
      </c>
      <c r="AC184" s="282" t="str">
        <f>IF(SUM(AV185:AW185,AZ185:BC185)=0,"",BH185&amp;":"&amp;BI185)</f>
        <v>3:0</v>
      </c>
      <c r="AD184" s="283">
        <f>IF(SUM(BH184:BH187)&gt;0,BJ185,"")</f>
        <v>1</v>
      </c>
      <c r="AE184" s="22"/>
      <c r="AF184" s="22"/>
      <c r="AG184" s="41" t="s">
        <v>15</v>
      </c>
      <c r="AH184" s="204">
        <f>IF(ISBLANK(S184),"",VLOOKUP(S184,'[1]plan gier'!$X:$AN,12,FALSE))</f>
        <v>21</v>
      </c>
      <c r="AI184" s="49">
        <f>IF(ISBLANK(S184),"",VLOOKUP(S184,'[1]plan gier'!$X:$AN,13,FALSE))</f>
        <v>9</v>
      </c>
      <c r="AJ184" s="49">
        <f>IF(ISBLANK(S184),"",VLOOKUP(S184,'[1]plan gier'!$X:$AN,14,FALSE))</f>
        <v>21</v>
      </c>
      <c r="AK184" s="49">
        <f>IF(ISBLANK(S184),"",VLOOKUP(S184,'[1]plan gier'!$X:$AN,15,FALSE))</f>
        <v>10</v>
      </c>
      <c r="AL184" s="49">
        <f>IF(ISBLANK(S184),"",VLOOKUP(S184,'[1]plan gier'!$X:$AN,16,FALSE))</f>
        <v>0</v>
      </c>
      <c r="AM184" s="49">
        <f>IF(ISBLANK(S184),"",VLOOKUP(S184,'[1]plan gier'!$X:$AN,17,FALSE))</f>
        <v>0</v>
      </c>
      <c r="AN184" s="46">
        <f aca="true" t="shared" si="16" ref="AN184:AS189">IF(AH184="",0,AH184)</f>
        <v>21</v>
      </c>
      <c r="AO184" s="47">
        <f t="shared" si="16"/>
        <v>9</v>
      </c>
      <c r="AP184" s="47">
        <f t="shared" si="16"/>
        <v>21</v>
      </c>
      <c r="AQ184" s="47">
        <f t="shared" si="16"/>
        <v>10</v>
      </c>
      <c r="AR184" s="47">
        <f t="shared" si="16"/>
        <v>0</v>
      </c>
      <c r="AS184" s="55">
        <f t="shared" si="16"/>
        <v>0</v>
      </c>
      <c r="AT184" s="205">
        <f aca="true" t="shared" si="17" ref="AT184:AT189">SUM(AN184:AS184)</f>
        <v>61</v>
      </c>
      <c r="AU184" s="87">
        <v>1</v>
      </c>
      <c r="AV184" s="346"/>
      <c r="AW184" s="347"/>
      <c r="AX184" s="47">
        <f>IF(AH189&gt;AI189,1,0)+IF(AJ189&gt;AK189,1,0)+IF(AL189&gt;AM189,1,0)</f>
        <v>0</v>
      </c>
      <c r="AY184" s="47">
        <f>AV185</f>
        <v>2</v>
      </c>
      <c r="AZ184" s="47">
        <f>IF(AH184&gt;AI184,1,0)+IF(AJ184&gt;AK184,1,0)+IF(AL184&gt;AM184,1,0)</f>
        <v>2</v>
      </c>
      <c r="BA184" s="49">
        <f>AV186</f>
        <v>0</v>
      </c>
      <c r="BB184" s="206">
        <f>IF(AH186&gt;AI186,1,0)+IF(AJ186&gt;AK186,1,0)+IF(AL186&gt;AM186,1,0)</f>
        <v>2</v>
      </c>
      <c r="BC184" s="56">
        <f>AV187</f>
        <v>0</v>
      </c>
      <c r="BD184" s="204">
        <f>AN184+AP184+AR184+AN186+AP186+AR186+AN189+AP189+AR189</f>
        <v>108</v>
      </c>
      <c r="BE184" s="207">
        <f>AO184+AQ184+AS184+AO186+AQ186+AS186+AO189+AQ189+AS189</f>
        <v>94</v>
      </c>
      <c r="BF184" s="204">
        <f>AX184+AZ184+BB184</f>
        <v>4</v>
      </c>
      <c r="BG184" s="208">
        <f>AY184+BA184+BC184</f>
        <v>2</v>
      </c>
      <c r="BH184" s="204">
        <f>IF(AX184&gt;AY184,1,0)+IF(AZ184&gt;BA184,1,0)+IF(BB184&gt;BC184,1,0)</f>
        <v>2</v>
      </c>
      <c r="BI184" s="208">
        <f>IF(AY184&gt;AX184,1,0)+IF(BA184&gt;AZ184,1,0)+IF(BC184&gt;BB184,1,0)</f>
        <v>1</v>
      </c>
      <c r="BJ184" s="209">
        <f>IF(BH184+BI184=0,"",IF(BK184=MAX(BK184:BK187),1,IF(BK184=LARGE(BK184:BK187,2),2,IF(BK184=MIN(BK184:BK187),4,3))))</f>
        <v>2</v>
      </c>
      <c r="BK184" s="210">
        <f>IF(BH184+BI184&lt;&gt;0,BH184-BI184+(BF184-BG184)/100+(BD184-BE184)/10000,-3)</f>
        <v>1.0214</v>
      </c>
    </row>
    <row r="185" spans="1:63" ht="11.25" customHeight="1">
      <c r="A185" s="12">
        <f t="shared" si="15"/>
        <v>47</v>
      </c>
      <c r="B185" s="12" t="str">
        <f>IF(N185="","",N185)</f>
        <v>B0001</v>
      </c>
      <c r="C185" s="12">
        <f>IF(N186="","",N186)</f>
      </c>
      <c r="D185" s="12" t="str">
        <f>IF(N191="","",N191)</f>
        <v>J0001</v>
      </c>
      <c r="E185" s="12">
        <f>IF(N192="","",N192)</f>
      </c>
      <c r="J185" s="29"/>
      <c r="K185" s="12"/>
      <c r="L185" s="12"/>
      <c r="M185" s="39" t="str">
        <f>N181</f>
        <v>Open</v>
      </c>
      <c r="N185" s="30" t="s">
        <v>73</v>
      </c>
      <c r="O185" s="31">
        <f>IF(O180&gt;0,(O180&amp;2)*1,"")</f>
        <v>22</v>
      </c>
      <c r="Q185" s="40">
        <f>IF(AT185&gt;0,"",IF(A185=0,"",IF(VLOOKUP(A185,'[1]plan gier'!A:S,19,FALSE)="","",VLOOKUP(A185,'[1]plan gier'!A:S,19,FALSE))))</f>
      </c>
      <c r="R185" s="41" t="s">
        <v>69</v>
      </c>
      <c r="S185" s="202">
        <v>47</v>
      </c>
      <c r="T185" s="260"/>
      <c r="U185" s="271" t="str">
        <f>IF(AND(N185&lt;&gt;"",N186=""),CONCATENATE(VLOOKUP(N185,'[1]zawodnicy'!$A:$E,1,FALSE)," ",VLOOKUP(N185,'[1]zawodnicy'!$A:$E,2,FALSE)," ",VLOOKUP(N185,'[1]zawodnicy'!$A:$E,3,FALSE)," - ",VLOOKUP(N185,'[1]zawodnicy'!$A:$E,4,FALSE)),"")</f>
        <v>B0001 Maciej BARAN - Rzeszów</v>
      </c>
      <c r="V185" s="317"/>
      <c r="W185" s="58" t="str">
        <f>IF(SUM(AP189:AQ189)=0,"",AQ189&amp;":"&amp;AP189)</f>
        <v>21:15</v>
      </c>
      <c r="X185" s="211"/>
      <c r="Y185" s="33" t="str">
        <f>IF(SUM(AP187:AQ187)=0,"",AP187&amp;":"&amp;AQ187)</f>
        <v>21:5</v>
      </c>
      <c r="Z185" s="34" t="str">
        <f>IF(SUM(AP185:AQ185)=0,"",AP185&amp;":"&amp;AQ185)</f>
        <v>21:9</v>
      </c>
      <c r="AA185" s="260"/>
      <c r="AB185" s="265"/>
      <c r="AC185" s="265"/>
      <c r="AD185" s="268"/>
      <c r="AE185" s="22"/>
      <c r="AF185" s="22"/>
      <c r="AG185" s="41" t="s">
        <v>69</v>
      </c>
      <c r="AH185" s="46">
        <f>IF(ISBLANK(S185),"",VLOOKUP(S185,'[1]plan gier'!$X:$AN,12,FALSE))</f>
        <v>21</v>
      </c>
      <c r="AI185" s="47">
        <f>IF(ISBLANK(S185),"",VLOOKUP(S185,'[1]plan gier'!$X:$AN,13,FALSE))</f>
        <v>12</v>
      </c>
      <c r="AJ185" s="47">
        <f>IF(ISBLANK(S185),"",VLOOKUP(S185,'[1]plan gier'!$X:$AN,14,FALSE))</f>
        <v>21</v>
      </c>
      <c r="AK185" s="47">
        <f>IF(ISBLANK(S185),"",VLOOKUP(S185,'[1]plan gier'!$X:$AN,15,FALSE))</f>
        <v>9</v>
      </c>
      <c r="AL185" s="47">
        <f>IF(ISBLANK(S185),"",VLOOKUP(S185,'[1]plan gier'!$X:$AN,16,FALSE))</f>
        <v>0</v>
      </c>
      <c r="AM185" s="47">
        <f>IF(ISBLANK(S185),"",VLOOKUP(S185,'[1]plan gier'!$X:$AN,17,FALSE))</f>
        <v>0</v>
      </c>
      <c r="AN185" s="60">
        <f t="shared" si="16"/>
        <v>21</v>
      </c>
      <c r="AO185" s="61">
        <f t="shared" si="16"/>
        <v>12</v>
      </c>
      <c r="AP185" s="61">
        <f t="shared" si="16"/>
        <v>21</v>
      </c>
      <c r="AQ185" s="61">
        <f t="shared" si="16"/>
        <v>9</v>
      </c>
      <c r="AR185" s="61">
        <f t="shared" si="16"/>
        <v>0</v>
      </c>
      <c r="AS185" s="66">
        <f t="shared" si="16"/>
        <v>0</v>
      </c>
      <c r="AT185" s="205">
        <f t="shared" si="17"/>
        <v>63</v>
      </c>
      <c r="AU185" s="87">
        <v>2</v>
      </c>
      <c r="AV185" s="60">
        <f>IF(AH189&lt;AI189,1,0)+IF(AJ189&lt;AK189,1,0)+IF(AL189&lt;AM189,1,0)</f>
        <v>2</v>
      </c>
      <c r="AW185" s="61">
        <f>AX184</f>
        <v>0</v>
      </c>
      <c r="AX185" s="212"/>
      <c r="AY185" s="213"/>
      <c r="AZ185" s="61">
        <f>IF(AH187&gt;AI187,1,0)+IF(AJ187&gt;AK187,1,0)+IF(AL187&gt;AM187,1,0)</f>
        <v>2</v>
      </c>
      <c r="BA185" s="61">
        <f>AX186</f>
        <v>0</v>
      </c>
      <c r="BB185" s="214">
        <f>IF(AH185&gt;AI185,1,0)+IF(AJ185&gt;AK185,1,0)+IF(AL185&gt;AM185,1,0)</f>
        <v>2</v>
      </c>
      <c r="BC185" s="67">
        <f>AX187</f>
        <v>0</v>
      </c>
      <c r="BD185" s="60">
        <f>AN185+AP185+AR185+AN187+AP187+AR187+AO189+AQ189+AS189</f>
        <v>126</v>
      </c>
      <c r="BE185" s="67">
        <f>AO185+AQ185+AS185+AO187+AQ187+AS187+AN189+AP189+AR189</f>
        <v>63</v>
      </c>
      <c r="BF185" s="60">
        <f>AV185+AZ185+BB185</f>
        <v>6</v>
      </c>
      <c r="BG185" s="66">
        <f>AW185+BA185+BC185</f>
        <v>0</v>
      </c>
      <c r="BH185" s="60">
        <f>IF(AV185&gt;AW185,1,0)+IF(AZ185&gt;BA185,1,0)+IF(BB185&gt;BC185,1,0)</f>
        <v>3</v>
      </c>
      <c r="BI185" s="66">
        <f>IF(AW185&gt;AV185,1,0)+IF(BA185&gt;AZ185,1,0)+IF(BC185&gt;BB185,1,0)</f>
        <v>0</v>
      </c>
      <c r="BJ185" s="68">
        <f>IF(BH185+BI185=0,"",IF(BK185=MAX(BK184:BK187),1,IF(BK185=LARGE(BK184:BK187,2),2,IF(BK185=MIN(BK184:BK187),4,3))))</f>
        <v>1</v>
      </c>
      <c r="BK185" s="210">
        <f>IF(BH185+BI185&lt;&gt;0,BH185-BI185+(BF185-BG185)/100+(BD185-BE185)/10000,-3)</f>
        <v>3.0663</v>
      </c>
    </row>
    <row r="186" spans="1:63" ht="11.25" customHeight="1">
      <c r="A186" s="12">
        <f t="shared" si="15"/>
        <v>50</v>
      </c>
      <c r="B186" s="12" t="str">
        <f>IF(N182="","",N182)</f>
        <v>I0002</v>
      </c>
      <c r="C186" s="12">
        <f>IF(N183="","",N183)</f>
      </c>
      <c r="D186" s="12" t="str">
        <f>IF(N191="","",N191)</f>
        <v>J0001</v>
      </c>
      <c r="E186" s="12">
        <f>IF(N192="","",N192)</f>
      </c>
      <c r="H186" s="29"/>
      <c r="I186" s="2" t="str">
        <f>"3"&amp;O180&amp;N181</f>
        <v>32Open</v>
      </c>
      <c r="J186" s="29" t="str">
        <f>IF(AD187="","",IF(AD181=3,N182,IF(AD184=3,N185,IF(AD187=3,N188,IF(AD190=3,N191,"")))))</f>
        <v>J0001</v>
      </c>
      <c r="K186" s="29">
        <f>IF(AD187="","",IF(AD181=3,N183,IF(AD184=3,N186,IF(AD187=3,N189,IF(AD190=3,N192,"")))))</f>
        <v>0</v>
      </c>
      <c r="L186" s="29"/>
      <c r="M186" s="39" t="str">
        <f>N181</f>
        <v>Open</v>
      </c>
      <c r="N186" s="35"/>
      <c r="O186" s="23"/>
      <c r="P186" s="23"/>
      <c r="Q186" s="40">
        <f>IF(AT186&gt;0,"",IF(A186=0,"",IF(VLOOKUP(A186,'[1]plan gier'!A:S,19,FALSE)="","",VLOOKUP(A186,'[1]plan gier'!A:S,19,FALSE))))</f>
      </c>
      <c r="R186" s="41" t="s">
        <v>70</v>
      </c>
      <c r="S186" s="202">
        <v>50</v>
      </c>
      <c r="T186" s="261"/>
      <c r="U186" s="273">
        <f>IF(N186&lt;&gt;"",CONCATENATE(VLOOKUP(N186,'[1]zawodnicy'!$A:$E,1,FALSE)," ",VLOOKUP(N186,'[1]zawodnicy'!$A:$E,2,FALSE)," ",VLOOKUP(N186,'[1]zawodnicy'!$A:$E,3,FALSE)," - ",VLOOKUP(N186,'[1]zawodnicy'!$A:$E,4,FALSE)),"")</f>
      </c>
      <c r="V186" s="318"/>
      <c r="W186" s="70">
        <f>IF(SUM(AR189:AS189)=0,"",AS189&amp;":"&amp;AR189)</f>
      </c>
      <c r="X186" s="211"/>
      <c r="Y186" s="36">
        <f>IF(SUM(AR187:AS187)=0,"",AR187&amp;":"&amp;AS187)</f>
      </c>
      <c r="Z186" s="37">
        <f>IF(SUM(AR185:AS185)=0,"",AR185&amp;":"&amp;AS185)</f>
      </c>
      <c r="AA186" s="260"/>
      <c r="AB186" s="265"/>
      <c r="AC186" s="265"/>
      <c r="AD186" s="268"/>
      <c r="AE186" s="22"/>
      <c r="AF186" s="22"/>
      <c r="AG186" s="41" t="s">
        <v>70</v>
      </c>
      <c r="AH186" s="46">
        <f>IF(ISBLANK(S186),"",VLOOKUP(S186,'[1]plan gier'!$X:$AN,12,FALSE))</f>
        <v>21</v>
      </c>
      <c r="AI186" s="47">
        <f>IF(ISBLANK(S186),"",VLOOKUP(S186,'[1]plan gier'!$X:$AN,13,FALSE))</f>
        <v>15</v>
      </c>
      <c r="AJ186" s="47">
        <f>IF(ISBLANK(S186),"",VLOOKUP(S186,'[1]plan gier'!$X:$AN,14,FALSE))</f>
        <v>21</v>
      </c>
      <c r="AK186" s="47">
        <f>IF(ISBLANK(S186),"",VLOOKUP(S186,'[1]plan gier'!$X:$AN,15,FALSE))</f>
        <v>18</v>
      </c>
      <c r="AL186" s="47">
        <f>IF(ISBLANK(S186),"",VLOOKUP(S186,'[1]plan gier'!$X:$AN,16,FALSE))</f>
        <v>0</v>
      </c>
      <c r="AM186" s="47">
        <f>IF(ISBLANK(S186),"",VLOOKUP(S186,'[1]plan gier'!$X:$AN,17,FALSE))</f>
        <v>0</v>
      </c>
      <c r="AN186" s="60">
        <f t="shared" si="16"/>
        <v>21</v>
      </c>
      <c r="AO186" s="61">
        <f t="shared" si="16"/>
        <v>15</v>
      </c>
      <c r="AP186" s="61">
        <f t="shared" si="16"/>
        <v>21</v>
      </c>
      <c r="AQ186" s="61">
        <f t="shared" si="16"/>
        <v>18</v>
      </c>
      <c r="AR186" s="61">
        <f t="shared" si="16"/>
        <v>0</v>
      </c>
      <c r="AS186" s="66">
        <f t="shared" si="16"/>
        <v>0</v>
      </c>
      <c r="AT186" s="205">
        <f t="shared" si="17"/>
        <v>75</v>
      </c>
      <c r="AU186" s="87">
        <v>3</v>
      </c>
      <c r="AV186" s="60">
        <f>IF(AH184&lt;AI184,1,0)+IF(AJ184&lt;AK184,1,0)+IF(AL184&lt;AM184,1,0)</f>
        <v>0</v>
      </c>
      <c r="AW186" s="61">
        <f>AZ184</f>
        <v>2</v>
      </c>
      <c r="AX186" s="61">
        <f>IF(AH187&lt;AI187,1,0)+IF(AJ187&lt;AK187,1,0)+IF(AL187&lt;AM187,1,0)</f>
        <v>0</v>
      </c>
      <c r="AY186" s="61">
        <f>AZ185</f>
        <v>2</v>
      </c>
      <c r="AZ186" s="212"/>
      <c r="BA186" s="213"/>
      <c r="BB186" s="61">
        <f>IF(AH188&gt;AI188,1,0)+IF(AJ188&gt;AK188,1,0)+IF(AL188&gt;AM188,1,0)</f>
        <v>0</v>
      </c>
      <c r="BC186" s="67">
        <f>AZ187</f>
        <v>2</v>
      </c>
      <c r="BD186" s="215">
        <f>AO184+AQ184+AS184+AO187+AQ187+AS187+AN188+AP188+AR188</f>
        <v>69</v>
      </c>
      <c r="BE186" s="216">
        <f>AN184+AP184+AR184+AN187+AP187+AR187+AO188+AQ188+AS188</f>
        <v>126</v>
      </c>
      <c r="BF186" s="215">
        <f>AV186+AX186+BB186</f>
        <v>0</v>
      </c>
      <c r="BG186" s="217">
        <f>AW186+AY186+BC186</f>
        <v>6</v>
      </c>
      <c r="BH186" s="60">
        <f>IF(AV186&gt;AW186,1,0)+IF(AX186&gt;AY186,1,0)+IF(BB186&gt;BC186,1,0)</f>
        <v>0</v>
      </c>
      <c r="BI186" s="66">
        <f>IF(AW186&gt;AV186,1,0)+IF(AY186&gt;AX186,1,0)+IF(BC186&gt;BB186,1,0)</f>
        <v>3</v>
      </c>
      <c r="BJ186" s="68">
        <f>IF(BH186+BI186=0,"",IF(BK186=MAX(BK184:BK187),1,IF(BK186=LARGE(BK184:BK187,2),2,IF(BK186=MIN(BK184:BK187),4,3))))</f>
        <v>4</v>
      </c>
      <c r="BK186" s="210">
        <f>IF(BH186+BI186&lt;&gt;0,BH186-BI186+(BF186-BG186)/100+(BD186-BE186)/10000,-3)</f>
        <v>-3.0657</v>
      </c>
    </row>
    <row r="187" spans="1:63" ht="11.25" customHeight="1" thickBot="1">
      <c r="A187" s="12">
        <f t="shared" si="15"/>
        <v>51</v>
      </c>
      <c r="B187" s="12" t="str">
        <f>IF(N185="","",N185)</f>
        <v>B0001</v>
      </c>
      <c r="C187" s="12">
        <f>IF(N186="","",N186)</f>
      </c>
      <c r="D187" s="12" t="str">
        <f>IF(N188="","",N188)</f>
        <v>G0011</v>
      </c>
      <c r="E187" s="12">
        <f>IF(N189="","",N189)</f>
      </c>
      <c r="J187" s="29"/>
      <c r="K187" s="23"/>
      <c r="L187" s="23"/>
      <c r="M187" s="39" t="str">
        <f>N181</f>
        <v>Open</v>
      </c>
      <c r="O187" s="23"/>
      <c r="P187" s="23"/>
      <c r="Q187" s="40">
        <f>IF(AT187&gt;0,"",IF(A187=0,"",IF(VLOOKUP(A187,'[1]plan gier'!A:S,19,FALSE)="","",VLOOKUP(A187,'[1]plan gier'!A:S,19,FALSE))))</f>
      </c>
      <c r="R187" s="41" t="s">
        <v>17</v>
      </c>
      <c r="S187" s="202">
        <v>51</v>
      </c>
      <c r="T187" s="279">
        <v>3</v>
      </c>
      <c r="U187" s="280">
        <f>IF(AND(N188&lt;&gt;"",N189&lt;&gt;""),CONCATENATE(VLOOKUP(N188,'[1]zawodnicy'!$A:$E,1,FALSE)," ",VLOOKUP(N188,'[1]zawodnicy'!$A:$E,2,FALSE)," ",VLOOKUP(N188,'[1]zawodnicy'!$A:$E,3,FALSE)," - ",VLOOKUP(N188,'[1]zawodnicy'!$A:$E,4,FALSE)),"")</f>
      </c>
      <c r="V187" s="332"/>
      <c r="W187" s="43" t="str">
        <f>IF(SUM(AN184:AO184)=0,"",AO184&amp;":"&amp;AN184)</f>
        <v>9:21</v>
      </c>
      <c r="X187" s="80" t="str">
        <f>IF(SUM(AN187:AO187)=0,"",AO187&amp;":"&amp;AN187)</f>
        <v>13:21</v>
      </c>
      <c r="Y187" s="44"/>
      <c r="Z187" s="45" t="str">
        <f>IF(SUM(AN188:AO188)=0,"",AN188&amp;":"&amp;AO188)</f>
        <v>18:21</v>
      </c>
      <c r="AA187" s="279" t="str">
        <f>IF(SUM(AV186:AY186,BB186:BC186)=0,"",BD186&amp;":"&amp;BE186)</f>
        <v>69:126</v>
      </c>
      <c r="AB187" s="282" t="str">
        <f>IF(SUM(AV186:AY186,BB186:BC186)=0,"",BF186&amp;":"&amp;BG186)</f>
        <v>0:6</v>
      </c>
      <c r="AC187" s="282" t="str">
        <f>IF(SUM(AV186:AY186,BB186:BC186)=0,"",BH186&amp;":"&amp;BI186)</f>
        <v>0:3</v>
      </c>
      <c r="AD187" s="283">
        <f>IF(SUM(BH184:BH187)&gt;0,BJ186,"")</f>
        <v>4</v>
      </c>
      <c r="AE187" s="22"/>
      <c r="AF187" s="22"/>
      <c r="AG187" s="41" t="s">
        <v>17</v>
      </c>
      <c r="AH187" s="46">
        <f>IF(ISBLANK(S187),"",VLOOKUP(S187,'[1]plan gier'!$X:$AN,12,FALSE))</f>
        <v>21</v>
      </c>
      <c r="AI187" s="47">
        <f>IF(ISBLANK(S187),"",VLOOKUP(S187,'[1]plan gier'!$X:$AN,13,FALSE))</f>
        <v>13</v>
      </c>
      <c r="AJ187" s="47">
        <f>IF(ISBLANK(S187),"",VLOOKUP(S187,'[1]plan gier'!$X:$AN,14,FALSE))</f>
        <v>21</v>
      </c>
      <c r="AK187" s="47">
        <f>IF(ISBLANK(S187),"",VLOOKUP(S187,'[1]plan gier'!$X:$AN,15,FALSE))</f>
        <v>5</v>
      </c>
      <c r="AL187" s="47">
        <f>IF(ISBLANK(S187),"",VLOOKUP(S187,'[1]plan gier'!$X:$AN,16,FALSE))</f>
        <v>0</v>
      </c>
      <c r="AM187" s="47">
        <f>IF(ISBLANK(S187),"",VLOOKUP(S187,'[1]plan gier'!$X:$AN,17,FALSE))</f>
        <v>0</v>
      </c>
      <c r="AN187" s="60">
        <f t="shared" si="16"/>
        <v>21</v>
      </c>
      <c r="AO187" s="61">
        <f t="shared" si="16"/>
        <v>13</v>
      </c>
      <c r="AP187" s="61">
        <f t="shared" si="16"/>
        <v>21</v>
      </c>
      <c r="AQ187" s="61">
        <f t="shared" si="16"/>
        <v>5</v>
      </c>
      <c r="AR187" s="61">
        <f t="shared" si="16"/>
        <v>0</v>
      </c>
      <c r="AS187" s="66">
        <f t="shared" si="16"/>
        <v>0</v>
      </c>
      <c r="AT187" s="205">
        <f t="shared" si="17"/>
        <v>60</v>
      </c>
      <c r="AU187" s="87">
        <v>4</v>
      </c>
      <c r="AV187" s="218">
        <f>IF(AH186&lt;AI186,1,0)+IF(AJ186&lt;AK186,1,0)+IF(AL186&lt;AM186,1,0)</f>
        <v>0</v>
      </c>
      <c r="AW187" s="219">
        <f>BB184</f>
        <v>2</v>
      </c>
      <c r="AX187" s="219">
        <f>IF(AH185&lt;AI185,1,0)+IF(AJ185&lt;AK185,1,0)+IF(AL185&lt;AM185,1,0)</f>
        <v>0</v>
      </c>
      <c r="AY187" s="219">
        <f>BB185</f>
        <v>2</v>
      </c>
      <c r="AZ187" s="72">
        <f>IF(AH188&lt;AI188,1,0)+IF(AJ188&lt;AK188,1,0)+IF(AL188&lt;AM188,1,0)</f>
        <v>2</v>
      </c>
      <c r="BA187" s="72">
        <f>BB186</f>
        <v>0</v>
      </c>
      <c r="BB187" s="182"/>
      <c r="BC187" s="220"/>
      <c r="BD187" s="71">
        <f>AO185+AQ185+AS185+AO186+AQ186+AS186+AO188+AQ188+AS188</f>
        <v>96</v>
      </c>
      <c r="BE187" s="78">
        <f>AN185+AP185+AR185+AN186+AP186+AR186+AN188+AP188+AR188</f>
        <v>116</v>
      </c>
      <c r="BF187" s="71">
        <f>AV187+AX187+AZ187</f>
        <v>2</v>
      </c>
      <c r="BG187" s="77">
        <f>AW187+AY187+BA187</f>
        <v>4</v>
      </c>
      <c r="BH187" s="71">
        <f>IF(AV187&gt;AW187,1,0)+IF(AX187&gt;AY187,1,0)+IF(AZ187&gt;BA187,1,0)</f>
        <v>1</v>
      </c>
      <c r="BI187" s="77">
        <f>IF(AW187&gt;AV187,1,0)+IF(AY187&gt;AX187,1,0)+IF(BA187&gt;AZ187,1,0)</f>
        <v>2</v>
      </c>
      <c r="BJ187" s="79">
        <f>IF(BH187+BI187=0,"",IF(BK187=MAX(BK184:BK187),1,IF(BK187=LARGE(BK184:BK187,2),2,IF(BK187=MIN(BK184:BK187),4,3))))</f>
        <v>3</v>
      </c>
      <c r="BK187" s="210">
        <f>IF(BH187+BI187&lt;&gt;0,BH187-BI187+(BF187-BG187)/100+(BD187-BE187)/10000,-3)</f>
        <v>-1.022</v>
      </c>
    </row>
    <row r="188" spans="1:63" ht="11.25" customHeight="1">
      <c r="A188" s="12">
        <f t="shared" si="15"/>
        <v>54</v>
      </c>
      <c r="B188" s="12" t="str">
        <f>IF(N188="","",N188)</f>
        <v>G0011</v>
      </c>
      <c r="C188" s="12">
        <f>IF(N189="","",N189)</f>
      </c>
      <c r="D188" s="12" t="str">
        <f>IF(N191="","",N191)</f>
        <v>J0001</v>
      </c>
      <c r="E188" s="12">
        <f>IF(N192="","",N192)</f>
      </c>
      <c r="H188" s="29"/>
      <c r="I188" s="2" t="str">
        <f>"4"&amp;O180&amp;N181</f>
        <v>42Open</v>
      </c>
      <c r="J188" s="29" t="str">
        <f>IF(AD190="","",IF(AD181=4,N182,IF(AD184=4,N185,IF(AD187=4,N188,IF(AD190=4,N191,"")))))</f>
        <v>G0011</v>
      </c>
      <c r="K188" s="29">
        <f>IF(AD190="","",IF(AD181=4,N183,IF(AD184=4,N186,IF(AD187=4,N189,IF(AD190=4,N192,"")))))</f>
        <v>0</v>
      </c>
      <c r="L188" s="29"/>
      <c r="M188" s="39" t="str">
        <f>N181</f>
        <v>Open</v>
      </c>
      <c r="N188" s="30" t="s">
        <v>74</v>
      </c>
      <c r="O188" s="31">
        <f>IF(O180&gt;0,(O180&amp;3)*1,"")</f>
        <v>23</v>
      </c>
      <c r="Q188" s="40">
        <f>IF(AT188&gt;0,"",IF(A188=0,"",IF(VLOOKUP(A188,'[1]plan gier'!A:S,19,FALSE)="","",VLOOKUP(A188,'[1]plan gier'!A:S,19,FALSE))))</f>
      </c>
      <c r="R188" s="41" t="s">
        <v>58</v>
      </c>
      <c r="S188" s="202">
        <v>54</v>
      </c>
      <c r="T188" s="260"/>
      <c r="U188" s="271" t="str">
        <f>IF(AND(N188&lt;&gt;"",N189=""),CONCATENATE(VLOOKUP(N188,'[1]zawodnicy'!$A:$E,1,FALSE)," ",VLOOKUP(N188,'[1]zawodnicy'!$A:$E,2,FALSE)," ",VLOOKUP(N188,'[1]zawodnicy'!$A:$E,3,FALSE)," - ",VLOOKUP(N188,'[1]zawodnicy'!$A:$E,4,FALSE)),"")</f>
        <v>G0011 Jakub GERCZAK - Sanok</v>
      </c>
      <c r="V188" s="317"/>
      <c r="W188" s="58" t="str">
        <f>IF(SUM(AP184:AQ184)=0,"",AQ184&amp;":"&amp;AP184)</f>
        <v>10:21</v>
      </c>
      <c r="X188" s="33" t="str">
        <f>IF(SUM(AP187:AQ187)=0,"",AQ187&amp;":"&amp;AP187)</f>
        <v>5:21</v>
      </c>
      <c r="Y188" s="59"/>
      <c r="Z188" s="34" t="str">
        <f>IF(SUM(AP188:AQ188)=0,"",AP188&amp;":"&amp;AQ188)</f>
        <v>14:21</v>
      </c>
      <c r="AA188" s="260"/>
      <c r="AB188" s="265"/>
      <c r="AC188" s="265"/>
      <c r="AD188" s="268"/>
      <c r="AE188" s="22"/>
      <c r="AF188" s="22"/>
      <c r="AG188" s="41" t="s">
        <v>58</v>
      </c>
      <c r="AH188" s="46">
        <f>IF(ISBLANK(S188),"",VLOOKUP(S188,'[1]plan gier'!$X:$AN,12,FALSE))</f>
        <v>18</v>
      </c>
      <c r="AI188" s="47">
        <f>IF(ISBLANK(S188),"",VLOOKUP(S188,'[1]plan gier'!$X:$AN,13,FALSE))</f>
        <v>21</v>
      </c>
      <c r="AJ188" s="47">
        <f>IF(ISBLANK(S188),"",VLOOKUP(S188,'[1]plan gier'!$X:$AN,14,FALSE))</f>
        <v>14</v>
      </c>
      <c r="AK188" s="47">
        <f>IF(ISBLANK(S188),"",VLOOKUP(S188,'[1]plan gier'!$X:$AN,15,FALSE))</f>
        <v>21</v>
      </c>
      <c r="AL188" s="47">
        <f>IF(ISBLANK(S188),"",VLOOKUP(S188,'[1]plan gier'!$X:$AN,16,FALSE))</f>
        <v>0</v>
      </c>
      <c r="AM188" s="47">
        <f>IF(ISBLANK(S188),"",VLOOKUP(S188,'[1]plan gier'!$X:$AN,17,FALSE))</f>
        <v>0</v>
      </c>
      <c r="AN188" s="60">
        <f t="shared" si="16"/>
        <v>18</v>
      </c>
      <c r="AO188" s="61">
        <f t="shared" si="16"/>
        <v>21</v>
      </c>
      <c r="AP188" s="61">
        <f t="shared" si="16"/>
        <v>14</v>
      </c>
      <c r="AQ188" s="61">
        <f t="shared" si="16"/>
        <v>21</v>
      </c>
      <c r="AR188" s="61">
        <f t="shared" si="16"/>
        <v>0</v>
      </c>
      <c r="AS188" s="66">
        <f t="shared" si="16"/>
        <v>0</v>
      </c>
      <c r="AT188" s="205">
        <f t="shared" si="17"/>
        <v>74</v>
      </c>
      <c r="BD188" s="12">
        <f aca="true" t="shared" si="18" ref="BD188:BI188">SUM(BD184:BD187)</f>
        <v>399</v>
      </c>
      <c r="BE188" s="12">
        <f t="shared" si="18"/>
        <v>399</v>
      </c>
      <c r="BF188" s="12">
        <f t="shared" si="18"/>
        <v>12</v>
      </c>
      <c r="BG188" s="12">
        <f t="shared" si="18"/>
        <v>12</v>
      </c>
      <c r="BH188" s="12">
        <f t="shared" si="18"/>
        <v>6</v>
      </c>
      <c r="BI188" s="12">
        <f t="shared" si="18"/>
        <v>6</v>
      </c>
      <c r="BK188" s="13">
        <f>SUM(BK184:BK187)</f>
        <v>0</v>
      </c>
    </row>
    <row r="189" spans="1:46" ht="11.25" customHeight="1" thickBot="1">
      <c r="A189" s="12">
        <f t="shared" si="15"/>
        <v>55</v>
      </c>
      <c r="B189" s="12" t="str">
        <f>IF(N182="","",N182)</f>
        <v>I0002</v>
      </c>
      <c r="C189" s="12">
        <f>IF(N183="","",N183)</f>
      </c>
      <c r="D189" s="12" t="str">
        <f>IF(N185="","",N185)</f>
        <v>B0001</v>
      </c>
      <c r="E189" s="12">
        <f>IF(N186="","",N186)</f>
      </c>
      <c r="J189" s="23"/>
      <c r="K189" s="23"/>
      <c r="L189" s="23"/>
      <c r="M189" s="39" t="str">
        <f>N181</f>
        <v>Open</v>
      </c>
      <c r="N189" s="35"/>
      <c r="O189" s="23"/>
      <c r="P189" s="23"/>
      <c r="Q189" s="40">
        <f>IF(AT189&gt;0,"",IF(A189=0,"",IF(VLOOKUP(A189,'[1]plan gier'!A:S,19,FALSE)="","",VLOOKUP(A189,'[1]plan gier'!A:S,19,FALSE))))</f>
      </c>
      <c r="R189" s="41" t="s">
        <v>18</v>
      </c>
      <c r="S189" s="202">
        <v>55</v>
      </c>
      <c r="T189" s="261"/>
      <c r="U189" s="273">
        <f>IF(N189&lt;&gt;"",CONCATENATE(VLOOKUP(N189,'[1]zawodnicy'!$A:$E,1,FALSE)," ",VLOOKUP(N189,'[1]zawodnicy'!$A:$E,2,FALSE)," ",VLOOKUP(N189,'[1]zawodnicy'!$A:$E,3,FALSE)," - ",VLOOKUP(N189,'[1]zawodnicy'!$A:$E,4,FALSE)),"")</f>
      </c>
      <c r="V189" s="318"/>
      <c r="W189" s="70">
        <f>IF(SUM(AR184:AS184)=0,"",AS184&amp;":"&amp;AR184)</f>
      </c>
      <c r="X189" s="36">
        <f>IF(SUM(AR187:AS187)=0,"",AS187&amp;":"&amp;AR187)</f>
      </c>
      <c r="Y189" s="59"/>
      <c r="Z189" s="37">
        <f>IF(SUM(AR188:AS188)=0,"",AR188&amp;":"&amp;AS188)</f>
      </c>
      <c r="AA189" s="260"/>
      <c r="AB189" s="265"/>
      <c r="AC189" s="265"/>
      <c r="AD189" s="268"/>
      <c r="AE189" s="22"/>
      <c r="AF189" s="22"/>
      <c r="AG189" s="41" t="s">
        <v>18</v>
      </c>
      <c r="AH189" s="218">
        <f>IF(ISBLANK(S189),"",VLOOKUP(S189,'[1]plan gier'!$X:$AN,12,FALSE))</f>
        <v>9</v>
      </c>
      <c r="AI189" s="219">
        <f>IF(ISBLANK(S189),"",VLOOKUP(S189,'[1]plan gier'!$X:$AN,13,FALSE))</f>
        <v>21</v>
      </c>
      <c r="AJ189" s="219">
        <f>IF(ISBLANK(S189),"",VLOOKUP(S189,'[1]plan gier'!$X:$AN,14,FALSE))</f>
        <v>15</v>
      </c>
      <c r="AK189" s="219">
        <f>IF(ISBLANK(S189),"",VLOOKUP(S189,'[1]plan gier'!$X:$AN,15,FALSE))</f>
        <v>21</v>
      </c>
      <c r="AL189" s="219">
        <f>IF(ISBLANK(S189),"",VLOOKUP(S189,'[1]plan gier'!$X:$AN,16,FALSE))</f>
        <v>0</v>
      </c>
      <c r="AM189" s="219">
        <f>IF(ISBLANK(S189),"",VLOOKUP(S189,'[1]plan gier'!$X:$AN,17,FALSE))</f>
        <v>0</v>
      </c>
      <c r="AN189" s="71">
        <f t="shared" si="16"/>
        <v>9</v>
      </c>
      <c r="AO189" s="72">
        <f t="shared" si="16"/>
        <v>21</v>
      </c>
      <c r="AP189" s="72">
        <f t="shared" si="16"/>
        <v>15</v>
      </c>
      <c r="AQ189" s="72">
        <f t="shared" si="16"/>
        <v>21</v>
      </c>
      <c r="AR189" s="72">
        <f t="shared" si="16"/>
        <v>0</v>
      </c>
      <c r="AS189" s="77">
        <f t="shared" si="16"/>
        <v>0</v>
      </c>
      <c r="AT189" s="205">
        <f t="shared" si="17"/>
        <v>66</v>
      </c>
    </row>
    <row r="190" spans="1:46" ht="11.25" customHeight="1">
      <c r="A190" s="2"/>
      <c r="J190" s="23"/>
      <c r="K190" s="23"/>
      <c r="L190" s="23"/>
      <c r="O190" s="23"/>
      <c r="P190" s="23"/>
      <c r="Q190" s="2"/>
      <c r="R190" s="2"/>
      <c r="S190" s="2"/>
      <c r="T190" s="279">
        <v>4</v>
      </c>
      <c r="U190" s="280">
        <f>IF(AND(N191&lt;&gt;"",N192&lt;&gt;""),CONCATENATE(VLOOKUP(N191,'[1]zawodnicy'!$A:$E,1,FALSE)," ",VLOOKUP(N191,'[1]zawodnicy'!$A:$E,2,FALSE)," ",VLOOKUP(N191,'[1]zawodnicy'!$A:$E,3,FALSE)," - ",VLOOKUP(N191,'[1]zawodnicy'!$A:$E,4,FALSE)),"")</f>
      </c>
      <c r="V190" s="332"/>
      <c r="W190" s="43" t="str">
        <f>IF(SUM(AN186:AO186)=0,"",AO186&amp;":"&amp;AN186)</f>
        <v>15:21</v>
      </c>
      <c r="X190" s="80" t="str">
        <f>IF(SUM(AN185:AO185)=0,"",AO185&amp;":"&amp;AN185)</f>
        <v>12:21</v>
      </c>
      <c r="Y190" s="80" t="str">
        <f>IF(SUM(AN188:AO188)=0,"",AO188&amp;":"&amp;AN188)</f>
        <v>21:18</v>
      </c>
      <c r="Z190" s="221"/>
      <c r="AA190" s="279" t="str">
        <f>IF(SUM(AV187:BA187)=0,"",BD187&amp;":"&amp;BE187)</f>
        <v>96:116</v>
      </c>
      <c r="AB190" s="282" t="str">
        <f>IF(SUM(AV187:BA187)=0,"",BF187&amp;":"&amp;BG187)</f>
        <v>2:4</v>
      </c>
      <c r="AC190" s="282" t="str">
        <f>IF(SUM(AV187:BA187)=0,"",BH187&amp;":"&amp;BI187)</f>
        <v>1:2</v>
      </c>
      <c r="AD190" s="283">
        <f>IF(SUM(BH184:BH187)&gt;0,BJ187,"")</f>
        <v>3</v>
      </c>
      <c r="AE190" s="22"/>
      <c r="AF190" s="2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63" ht="11.25" customHeight="1">
      <c r="A191" s="12"/>
      <c r="B191" s="12"/>
      <c r="C191" s="12"/>
      <c r="D191" s="12"/>
      <c r="E191" s="12"/>
      <c r="H191" s="29"/>
      <c r="J191" s="12"/>
      <c r="K191" s="12"/>
      <c r="L191" s="12"/>
      <c r="N191" s="30" t="s">
        <v>75</v>
      </c>
      <c r="O191" s="31">
        <f>IF(O180&gt;0,(O180&amp;4)*1,"")</f>
        <v>24</v>
      </c>
      <c r="Q191" s="82"/>
      <c r="R191" s="82"/>
      <c r="S191" s="42"/>
      <c r="T191" s="260"/>
      <c r="U191" s="271" t="str">
        <f>IF(AND(N191&lt;&gt;"",N192=""),CONCATENATE(VLOOKUP(N191,'[1]zawodnicy'!$A:$E,1,FALSE)," ",VLOOKUP(N191,'[1]zawodnicy'!$A:$E,2,FALSE)," ",VLOOKUP(N191,'[1]zawodnicy'!$A:$E,3,FALSE)," - ",VLOOKUP(N191,'[1]zawodnicy'!$A:$E,4,FALSE)),"")</f>
        <v>J0001 Mateusz JĘDRZEJKO - Rzeszów</v>
      </c>
      <c r="V191" s="317"/>
      <c r="W191" s="58" t="str">
        <f>IF(SUM(AP186:AQ186)=0,"",AQ186&amp;":"&amp;AP186)</f>
        <v>18:21</v>
      </c>
      <c r="X191" s="33" t="str">
        <f>IF(SUM(AP185:AQ185)=0,"",AQ185&amp;":"&amp;AP185)</f>
        <v>9:21</v>
      </c>
      <c r="Y191" s="33" t="str">
        <f>IF(SUM(AP188:AQ188)=0,"",AQ188&amp;":"&amp;AP188)</f>
        <v>21:14</v>
      </c>
      <c r="Z191" s="222"/>
      <c r="AA191" s="260"/>
      <c r="AB191" s="265"/>
      <c r="AC191" s="265"/>
      <c r="AD191" s="268"/>
      <c r="AE191" s="22"/>
      <c r="AF191" s="2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1:63" ht="11.25" customHeight="1" thickBot="1">
      <c r="A192" s="2"/>
      <c r="J192" s="23"/>
      <c r="K192" s="23"/>
      <c r="L192" s="23"/>
      <c r="N192" s="35"/>
      <c r="O192" s="23"/>
      <c r="P192" s="23"/>
      <c r="Q192" s="2"/>
      <c r="R192" s="2"/>
      <c r="S192" s="2"/>
      <c r="T192" s="284"/>
      <c r="U192" s="287">
        <f>IF(N192&lt;&gt;"",CONCATENATE(VLOOKUP(N192,'[1]zawodnicy'!$A:$E,1,FALSE)," ",VLOOKUP(N192,'[1]zawodnicy'!$A:$E,2,FALSE)," ",VLOOKUP(N192,'[1]zawodnicy'!$A:$E,3,FALSE)," - ",VLOOKUP(N192,'[1]zawodnicy'!$A:$E,4,FALSE)),"")</f>
      </c>
      <c r="V192" s="343"/>
      <c r="W192" s="84">
        <f>IF(SUM(AR186:AS186)=0,"",AS186&amp;":"&amp;AR186)</f>
      </c>
      <c r="X192" s="85">
        <f>IF(SUM(AR185:AS185)=0,"",AS185&amp;":"&amp;AR185)</f>
      </c>
      <c r="Y192" s="85">
        <f>IF(SUM(AR188:AS188)=0,"",AS188&amp;":"&amp;AR188)</f>
      </c>
      <c r="Z192" s="86"/>
      <c r="AA192" s="284"/>
      <c r="AB192" s="285"/>
      <c r="AC192" s="285"/>
      <c r="AD192" s="286"/>
      <c r="AE192" s="22"/>
      <c r="AF192" s="2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ht="11.25" customHeight="1"/>
    <row r="194" ht="11.25" customHeight="1"/>
    <row r="195" spans="10:63" ht="11.25" customHeight="1">
      <c r="J195" s="2"/>
      <c r="K195" s="2"/>
      <c r="L195" s="2"/>
      <c r="M195" s="115"/>
      <c r="N195" s="120">
        <v>1</v>
      </c>
      <c r="O195" s="89"/>
      <c r="P195" s="89"/>
      <c r="Q195" s="1"/>
      <c r="R195" s="1"/>
      <c r="S195" s="304" t="s">
        <v>52</v>
      </c>
      <c r="T195" s="304"/>
      <c r="U195" s="304"/>
      <c r="V195" s="304"/>
      <c r="W195" s="304"/>
      <c r="X195" s="304"/>
      <c r="Y195" s="304"/>
      <c r="Z195" s="304"/>
      <c r="AA195" s="304"/>
      <c r="AB195" s="304"/>
      <c r="AC195" s="101"/>
      <c r="AD195" s="101"/>
      <c r="AE195" s="101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10:63" ht="11.25" customHeight="1">
      <c r="J196" s="2"/>
      <c r="K196" s="2"/>
      <c r="L196" s="2"/>
      <c r="N196" s="121" t="s">
        <v>66</v>
      </c>
      <c r="P196" s="89"/>
      <c r="Q196" s="1"/>
      <c r="R196" s="1"/>
      <c r="S196" s="1"/>
      <c r="T196" s="90"/>
      <c r="U196" s="91"/>
      <c r="V196" s="91"/>
      <c r="W196" s="91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1:63" ht="11.25" customHeight="1">
      <c r="A197" s="92">
        <f>V197</f>
        <v>57</v>
      </c>
      <c r="B197" s="2" t="str">
        <f>IF(S197="","",S197)</f>
        <v>P0003</v>
      </c>
      <c r="D197" s="2" t="str">
        <f>IF(S198="","",S198)</f>
        <v>B0001</v>
      </c>
      <c r="F197" s="2" t="str">
        <f>IF(A197=0,IF(AND(LEN(B197)&gt;0,LEN(D197)=0),VLOOKUP(B197,'[1]zawodnicy'!$A:$E,1,FALSE),IF(AND(LEN(D197)&gt;0,LEN(B197)=0),VLOOKUP(D197,'[1]zawodnicy'!$A:$E,1,FALSE),"")),IF((VLOOKUP(A197,'[1]plan gier'!$X:$AF,7,FALSE))="","",VLOOKUP(VLOOKUP(A197,'[1]plan gier'!$X:$AF,7,FALSE),'[1]zawodnicy'!$A:$E,1,FALSE)))</f>
        <v>B0001</v>
      </c>
      <c r="H197" s="2" t="str">
        <f>IF(A197=0,"",IF((VLOOKUP(A197,'[1]plan gier'!$X:$AF,7,FALSE))="","",VLOOKUP(A197,'[1]plan gier'!$X:$AF,9,FALSE)))</f>
        <v>21:16,21:16</v>
      </c>
      <c r="J197" s="93"/>
      <c r="K197" s="93"/>
      <c r="L197" s="117" t="str">
        <f>IF(A197=0,"",IF(VLOOKUP(A197,'[1]plan gier'!A:S,19,FALSE)="","",VLOOKUP(A197,'[1]plan gier'!A:S,19,FALSE)))</f>
        <v>godz.13:40</v>
      </c>
      <c r="M197" s="2" t="str">
        <f>N196</f>
        <v>Open</v>
      </c>
      <c r="N197" s="118"/>
      <c r="O197" s="122">
        <v>1</v>
      </c>
      <c r="P197" s="94"/>
      <c r="Q197" s="87">
        <f>O197</f>
        <v>1</v>
      </c>
      <c r="S197" s="305" t="str">
        <f>UPPER(IF(O197="","",IF(ISTEXT(N197),N197,IF(AND(N195&gt;0,O197&gt;0),VLOOKUP(N195&amp;O197&amp;N196,I:J,2,FALSE),""))))</f>
        <v>P0003</v>
      </c>
      <c r="T197" s="306"/>
      <c r="U197" s="107" t="str">
        <f>IF(S197&lt;&gt;"",CONCATENATE(VLOOKUP(S197,'[1]zawodnicy'!$A:$E,2,FALSE)," ",VLOOKUP(S197,'[1]zawodnicy'!$A:$E,3,FALSE)," - ",VLOOKUP(S197,'[1]zawodnicy'!$A:$E,4,FALSE)),"")</f>
        <v>Łukasz PIENIĄŻEK - Rzeszów</v>
      </c>
      <c r="V197" s="108">
        <v>57</v>
      </c>
      <c r="W197" s="297" t="str">
        <f>IF(F197="","",VLOOKUP(F197,'[1]zawodnicy'!$A:$D,3,FALSE))</f>
        <v>BARAN</v>
      </c>
      <c r="X197" s="298"/>
      <c r="Y197" s="298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10:63" ht="11.25" customHeight="1">
      <c r="J198" s="93"/>
      <c r="K198" s="93"/>
      <c r="L198" s="93"/>
      <c r="N198" s="118"/>
      <c r="O198" s="123">
        <v>2</v>
      </c>
      <c r="P198" s="94"/>
      <c r="Q198" s="87">
        <f>O198</f>
        <v>2</v>
      </c>
      <c r="S198" s="305" t="str">
        <f>UPPER(IF(O198="","",IF(ISTEXT(N198),N198,IF(AND(N195&gt;0,O198&gt;0),VLOOKUP(N195&amp;O198&amp;N196,I:J,2,FALSE),""))))</f>
        <v>B0001</v>
      </c>
      <c r="T198" s="306"/>
      <c r="U198" s="107" t="str">
        <f>IF(S198&lt;&gt;"",CONCATENATE(VLOOKUP(S198,'[1]zawodnicy'!$A:$E,2,FALSE)," ",VLOOKUP(S198,'[1]zawodnicy'!$A:$E,3,FALSE)," - ",VLOOKUP(S198,'[1]zawodnicy'!$A:$E,4,FALSE)),"")</f>
        <v>Maciej BARAN - Rzeszów</v>
      </c>
      <c r="V198" s="109"/>
      <c r="W198" s="299" t="str">
        <f>IF(H197="",L197,H197)</f>
        <v>21:16,21:16</v>
      </c>
      <c r="X198" s="300"/>
      <c r="Y198" s="300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ht="11.25" customHeight="1"/>
    <row r="200" ht="11.25" customHeight="1"/>
    <row r="201" spans="10:63" ht="11.25" customHeight="1">
      <c r="J201" s="2"/>
      <c r="K201" s="2"/>
      <c r="L201" s="2"/>
      <c r="M201" s="115"/>
      <c r="N201" s="120">
        <v>2</v>
      </c>
      <c r="O201" s="89"/>
      <c r="P201" s="89"/>
      <c r="Q201" s="1"/>
      <c r="R201" s="1"/>
      <c r="S201" s="304" t="s">
        <v>53</v>
      </c>
      <c r="T201" s="304"/>
      <c r="U201" s="304"/>
      <c r="V201" s="304"/>
      <c r="W201" s="304"/>
      <c r="X201" s="304"/>
      <c r="Y201" s="304"/>
      <c r="Z201" s="304"/>
      <c r="AA201" s="304"/>
      <c r="AB201" s="304"/>
      <c r="AC201" s="101"/>
      <c r="AD201" s="101"/>
      <c r="AE201" s="101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10:63" ht="11.25" customHeight="1">
      <c r="J202" s="2"/>
      <c r="K202" s="2"/>
      <c r="L202" s="2"/>
      <c r="N202" s="121" t="s">
        <v>66</v>
      </c>
      <c r="P202" s="89"/>
      <c r="Q202" s="1"/>
      <c r="R202" s="1"/>
      <c r="S202" s="1"/>
      <c r="T202" s="90"/>
      <c r="U202" s="91"/>
      <c r="V202" s="91"/>
      <c r="W202" s="91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1:63" ht="11.25" customHeight="1">
      <c r="A203" s="92">
        <f>V203</f>
        <v>56</v>
      </c>
      <c r="B203" s="2" t="str">
        <f>IF(S203="","",S203)</f>
        <v>K0014</v>
      </c>
      <c r="D203" s="2" t="str">
        <f>IF(S204="","",S204)</f>
        <v>I0002</v>
      </c>
      <c r="F203" s="2" t="str">
        <f>IF(A203=0,IF(AND(LEN(B203)&gt;0,LEN(D203)=0),VLOOKUP(B203,'[1]zawodnicy'!$A:$E,1,FALSE),IF(AND(LEN(D203)&gt;0,LEN(B203)=0),VLOOKUP(D203,'[1]zawodnicy'!$A:$E,1,FALSE),"")),IF((VLOOKUP(A203,'[1]plan gier'!$X:$AF,7,FALSE))="","",VLOOKUP(VLOOKUP(A203,'[1]plan gier'!$X:$AF,7,FALSE),'[1]zawodnicy'!$A:$E,1,FALSE)))</f>
        <v>I0002</v>
      </c>
      <c r="H203" s="2" t="str">
        <f>IF(A203=0,"",IF((VLOOKUP(A203,'[1]plan gier'!$X:$AF,7,FALSE))="","",VLOOKUP(A203,'[1]plan gier'!$X:$AF,9,FALSE)))</f>
        <v>21:13,21:13</v>
      </c>
      <c r="J203" s="93"/>
      <c r="K203" s="93"/>
      <c r="L203" s="117" t="str">
        <f>IF(A203=0,"",IF(VLOOKUP(A203,'[1]plan gier'!A:S,19,FALSE)="","",VLOOKUP(A203,'[1]plan gier'!A:S,19,FALSE)))</f>
        <v>godz.13:20</v>
      </c>
      <c r="M203" s="2" t="str">
        <f>N202</f>
        <v>Open</v>
      </c>
      <c r="N203" s="118"/>
      <c r="O203" s="122">
        <v>1</v>
      </c>
      <c r="P203" s="94"/>
      <c r="Q203" s="87">
        <f>O203</f>
        <v>1</v>
      </c>
      <c r="S203" s="305" t="str">
        <f>UPPER(IF(O203="","",IF(ISTEXT(N203),N203,IF(AND(N201&gt;0,O203&gt;0),VLOOKUP(N201&amp;O203&amp;N202,I:J,2,FALSE),""))))</f>
        <v>K0014</v>
      </c>
      <c r="T203" s="306"/>
      <c r="U203" s="107" t="str">
        <f>IF(S203&lt;&gt;"",CONCATENATE(VLOOKUP(S203,'[1]zawodnicy'!$A:$E,2,FALSE)," ",VLOOKUP(S203,'[1]zawodnicy'!$A:$E,3,FALSE)," - ",VLOOKUP(S203,'[1]zawodnicy'!$A:$E,4,FALSE)),"")</f>
        <v>Zdzisław KULA  - Tarnów</v>
      </c>
      <c r="V203" s="108">
        <v>56</v>
      </c>
      <c r="W203" s="297" t="str">
        <f>IF(F203="","",VLOOKUP(F203,'[1]zawodnicy'!$A:$D,3,FALSE))</f>
        <v>IWAŃSKI</v>
      </c>
      <c r="X203" s="298"/>
      <c r="Y203" s="298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10:63" ht="11.25" customHeight="1">
      <c r="J204" s="93"/>
      <c r="K204" s="93"/>
      <c r="L204" s="93"/>
      <c r="N204" s="118"/>
      <c r="O204" s="123">
        <v>2</v>
      </c>
      <c r="P204" s="94"/>
      <c r="Q204" s="87">
        <f>O204</f>
        <v>2</v>
      </c>
      <c r="S204" s="305" t="str">
        <f>UPPER(IF(O204="","",IF(ISTEXT(N204),N204,IF(AND(N201&gt;0,O204&gt;0),VLOOKUP(N201&amp;O204&amp;N202,I:J,2,FALSE),""))))</f>
        <v>I0002</v>
      </c>
      <c r="T204" s="306"/>
      <c r="U204" s="107" t="str">
        <f>IF(S204&lt;&gt;"",CONCATENATE(VLOOKUP(S204,'[1]zawodnicy'!$A:$E,2,FALSE)," ",VLOOKUP(S204,'[1]zawodnicy'!$A:$E,3,FALSE)," - ",VLOOKUP(S204,'[1]zawodnicy'!$A:$E,4,FALSE)),"")</f>
        <v>Igor IWAŃSKI - Mielec</v>
      </c>
      <c r="V204" s="109"/>
      <c r="W204" s="299" t="str">
        <f>IF(H203="",L203,H203)</f>
        <v>21:13,21:13</v>
      </c>
      <c r="X204" s="300"/>
      <c r="Y204" s="300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</sheetData>
  <sheetProtection/>
  <mergeCells count="562">
    <mergeCell ref="S203:T203"/>
    <mergeCell ref="W203:Y203"/>
    <mergeCell ref="S204:T204"/>
    <mergeCell ref="W204:Y204"/>
    <mergeCell ref="S197:T197"/>
    <mergeCell ref="W197:Y197"/>
    <mergeCell ref="S198:T198"/>
    <mergeCell ref="W198:Y198"/>
    <mergeCell ref="S201:V201"/>
    <mergeCell ref="W201:Y201"/>
    <mergeCell ref="AD190:AD192"/>
    <mergeCell ref="U191:V191"/>
    <mergeCell ref="U192:V192"/>
    <mergeCell ref="S195:V195"/>
    <mergeCell ref="W195:Y195"/>
    <mergeCell ref="Z195:AB195"/>
    <mergeCell ref="Z201:AB201"/>
    <mergeCell ref="U189:V189"/>
    <mergeCell ref="T190:T192"/>
    <mergeCell ref="U190:V190"/>
    <mergeCell ref="AA190:AA192"/>
    <mergeCell ref="AB190:AB192"/>
    <mergeCell ref="AC190:AC192"/>
    <mergeCell ref="AV184:AW184"/>
    <mergeCell ref="U185:V185"/>
    <mergeCell ref="U186:V186"/>
    <mergeCell ref="T187:T189"/>
    <mergeCell ref="U187:V187"/>
    <mergeCell ref="AA187:AA189"/>
    <mergeCell ref="AB187:AB189"/>
    <mergeCell ref="AC187:AC189"/>
    <mergeCell ref="AD187:AD189"/>
    <mergeCell ref="U188:V188"/>
    <mergeCell ref="T184:T186"/>
    <mergeCell ref="U184:V184"/>
    <mergeCell ref="AA184:AA186"/>
    <mergeCell ref="AB184:AB186"/>
    <mergeCell ref="AC184:AC186"/>
    <mergeCell ref="AD184:AD186"/>
    <mergeCell ref="AX183:AY183"/>
    <mergeCell ref="AZ183:BA183"/>
    <mergeCell ref="BB183:BC183"/>
    <mergeCell ref="BD183:BE183"/>
    <mergeCell ref="BF183:BG183"/>
    <mergeCell ref="BH183:BI183"/>
    <mergeCell ref="AJ183:AK183"/>
    <mergeCell ref="AL183:AM183"/>
    <mergeCell ref="AN183:AO183"/>
    <mergeCell ref="AP183:AQ183"/>
    <mergeCell ref="AR183:AS183"/>
    <mergeCell ref="AV183:AW183"/>
    <mergeCell ref="AB181:AB183"/>
    <mergeCell ref="AC181:AC183"/>
    <mergeCell ref="AD181:AD183"/>
    <mergeCell ref="U182:V182"/>
    <mergeCell ref="U183:V183"/>
    <mergeCell ref="AH183:AI183"/>
    <mergeCell ref="U178:V178"/>
    <mergeCell ref="Q180:S180"/>
    <mergeCell ref="U180:V180"/>
    <mergeCell ref="AH180:AM180"/>
    <mergeCell ref="AN180:AS180"/>
    <mergeCell ref="Q181:R183"/>
    <mergeCell ref="S181:S183"/>
    <mergeCell ref="T181:T183"/>
    <mergeCell ref="U181:V181"/>
    <mergeCell ref="AA181:AA183"/>
    <mergeCell ref="AD173:AD175"/>
    <mergeCell ref="U174:V174"/>
    <mergeCell ref="U175:V175"/>
    <mergeCell ref="T176:T178"/>
    <mergeCell ref="U176:V176"/>
    <mergeCell ref="AA176:AA178"/>
    <mergeCell ref="AB176:AB178"/>
    <mergeCell ref="AC176:AC178"/>
    <mergeCell ref="AD176:AD178"/>
    <mergeCell ref="U177:V177"/>
    <mergeCell ref="U172:V172"/>
    <mergeCell ref="T173:T175"/>
    <mergeCell ref="U173:V173"/>
    <mergeCell ref="AA173:AA175"/>
    <mergeCell ref="AB173:AB175"/>
    <mergeCell ref="AC173:AC175"/>
    <mergeCell ref="BF169:BG169"/>
    <mergeCell ref="BH169:BI169"/>
    <mergeCell ref="T170:T172"/>
    <mergeCell ref="U170:V170"/>
    <mergeCell ref="AA170:AA172"/>
    <mergeCell ref="AB170:AB172"/>
    <mergeCell ref="AC170:AC172"/>
    <mergeCell ref="AD170:AD172"/>
    <mergeCell ref="AV170:AW170"/>
    <mergeCell ref="U171:V171"/>
    <mergeCell ref="AR169:AS169"/>
    <mergeCell ref="AV169:AW169"/>
    <mergeCell ref="AX169:AY169"/>
    <mergeCell ref="AZ169:BA169"/>
    <mergeCell ref="BB169:BC169"/>
    <mergeCell ref="BD169:BE169"/>
    <mergeCell ref="U169:V169"/>
    <mergeCell ref="AH169:AI169"/>
    <mergeCell ref="AJ169:AK169"/>
    <mergeCell ref="AL169:AM169"/>
    <mergeCell ref="AN169:AO169"/>
    <mergeCell ref="AP169:AQ169"/>
    <mergeCell ref="AN166:AS166"/>
    <mergeCell ref="Q167:R169"/>
    <mergeCell ref="S167:S169"/>
    <mergeCell ref="T167:T169"/>
    <mergeCell ref="U167:V167"/>
    <mergeCell ref="AA167:AA169"/>
    <mergeCell ref="AB167:AB169"/>
    <mergeCell ref="AC167:AC169"/>
    <mergeCell ref="AD167:AD169"/>
    <mergeCell ref="U168:V168"/>
    <mergeCell ref="U161:V161"/>
    <mergeCell ref="U162:V162"/>
    <mergeCell ref="Q164:AE164"/>
    <mergeCell ref="Q166:S166"/>
    <mergeCell ref="U166:V166"/>
    <mergeCell ref="AH166:AM166"/>
    <mergeCell ref="AE157:AE159"/>
    <mergeCell ref="U158:V158"/>
    <mergeCell ref="U159:V159"/>
    <mergeCell ref="T160:T162"/>
    <mergeCell ref="U160:V160"/>
    <mergeCell ref="AA160:AA162"/>
    <mergeCell ref="AB160:AB162"/>
    <mergeCell ref="AC160:AC162"/>
    <mergeCell ref="AD160:AD162"/>
    <mergeCell ref="AE160:AE162"/>
    <mergeCell ref="AD154:AD156"/>
    <mergeCell ref="AE154:AE156"/>
    <mergeCell ref="U155:V155"/>
    <mergeCell ref="U156:V156"/>
    <mergeCell ref="T157:T159"/>
    <mergeCell ref="U157:V157"/>
    <mergeCell ref="Z157:Z159"/>
    <mergeCell ref="AB157:AB159"/>
    <mergeCell ref="AC157:AC159"/>
    <mergeCell ref="AD157:AD159"/>
    <mergeCell ref="AD151:AD153"/>
    <mergeCell ref="AE151:AE153"/>
    <mergeCell ref="AV151:AW151"/>
    <mergeCell ref="U152:V152"/>
    <mergeCell ref="U153:V153"/>
    <mergeCell ref="T154:T156"/>
    <mergeCell ref="U154:V154"/>
    <mergeCell ref="Y154:Y156"/>
    <mergeCell ref="AB154:AB156"/>
    <mergeCell ref="AC154:AC156"/>
    <mergeCell ref="BB150:BC150"/>
    <mergeCell ref="BD150:BE150"/>
    <mergeCell ref="BF150:BG150"/>
    <mergeCell ref="BH150:BI150"/>
    <mergeCell ref="BJ150:BK150"/>
    <mergeCell ref="T151:T153"/>
    <mergeCell ref="U151:V151"/>
    <mergeCell ref="X151:X153"/>
    <mergeCell ref="AB151:AB153"/>
    <mergeCell ref="AC151:AC153"/>
    <mergeCell ref="AO150:AP150"/>
    <mergeCell ref="AQ150:AR150"/>
    <mergeCell ref="AS150:AT150"/>
    <mergeCell ref="AV150:AW150"/>
    <mergeCell ref="AX150:AY150"/>
    <mergeCell ref="AZ150:BA150"/>
    <mergeCell ref="AE148:AE150"/>
    <mergeCell ref="U149:V149"/>
    <mergeCell ref="U150:V150"/>
    <mergeCell ref="AH150:AI150"/>
    <mergeCell ref="AJ150:AK150"/>
    <mergeCell ref="AL150:AM150"/>
    <mergeCell ref="Q145:AE145"/>
    <mergeCell ref="Q147:R149"/>
    <mergeCell ref="S147:S149"/>
    <mergeCell ref="U147:V147"/>
    <mergeCell ref="T148:T150"/>
    <mergeCell ref="U148:V148"/>
    <mergeCell ref="W148:W150"/>
    <mergeCell ref="AB148:AB150"/>
    <mergeCell ref="AC148:AC150"/>
    <mergeCell ref="AD148:AD150"/>
    <mergeCell ref="S139:V139"/>
    <mergeCell ref="W139:Y139"/>
    <mergeCell ref="Z139:AB139"/>
    <mergeCell ref="S141:T141"/>
    <mergeCell ref="W141:Y141"/>
    <mergeCell ref="S142:T142"/>
    <mergeCell ref="W142:Y142"/>
    <mergeCell ref="S134:V134"/>
    <mergeCell ref="W134:Y134"/>
    <mergeCell ref="Z134:AB134"/>
    <mergeCell ref="S136:T136"/>
    <mergeCell ref="W136:Y136"/>
    <mergeCell ref="S137:T137"/>
    <mergeCell ref="W137:Y137"/>
    <mergeCell ref="S128:V128"/>
    <mergeCell ref="W128:Y128"/>
    <mergeCell ref="Z128:AB128"/>
    <mergeCell ref="S130:T130"/>
    <mergeCell ref="W130:Y130"/>
    <mergeCell ref="S131:T131"/>
    <mergeCell ref="W131:Y131"/>
    <mergeCell ref="T122:T124"/>
    <mergeCell ref="U122:V122"/>
    <mergeCell ref="Z122:Z124"/>
    <mergeCell ref="AA122:AA124"/>
    <mergeCell ref="AB122:AB124"/>
    <mergeCell ref="AC122:AC124"/>
    <mergeCell ref="U123:V123"/>
    <mergeCell ref="U124:V124"/>
    <mergeCell ref="BF118:BG118"/>
    <mergeCell ref="BH118:BI118"/>
    <mergeCell ref="T119:T121"/>
    <mergeCell ref="U119:V119"/>
    <mergeCell ref="Z119:Z121"/>
    <mergeCell ref="AA119:AA121"/>
    <mergeCell ref="AB119:AB121"/>
    <mergeCell ref="AC119:AC121"/>
    <mergeCell ref="U120:V120"/>
    <mergeCell ref="U121:V121"/>
    <mergeCell ref="AP118:AQ118"/>
    <mergeCell ref="AR118:AS118"/>
    <mergeCell ref="AV118:AW118"/>
    <mergeCell ref="AX118:AY118"/>
    <mergeCell ref="AZ118:BA118"/>
    <mergeCell ref="BD118:BE118"/>
    <mergeCell ref="Z116:Z118"/>
    <mergeCell ref="AA116:AA118"/>
    <mergeCell ref="AB116:AB118"/>
    <mergeCell ref="AC116:AC118"/>
    <mergeCell ref="AH116:AM116"/>
    <mergeCell ref="AN116:AS116"/>
    <mergeCell ref="AH118:AI118"/>
    <mergeCell ref="AJ118:AK118"/>
    <mergeCell ref="AL118:AM118"/>
    <mergeCell ref="AN118:AO118"/>
    <mergeCell ref="Q115:S115"/>
    <mergeCell ref="U115:V115"/>
    <mergeCell ref="Q116:R118"/>
    <mergeCell ref="S116:S118"/>
    <mergeCell ref="T116:T118"/>
    <mergeCell ref="U116:V116"/>
    <mergeCell ref="U117:V117"/>
    <mergeCell ref="U118:V118"/>
    <mergeCell ref="T111:T113"/>
    <mergeCell ref="U111:V111"/>
    <mergeCell ref="Z111:Z113"/>
    <mergeCell ref="AA111:AA113"/>
    <mergeCell ref="AB111:AB113"/>
    <mergeCell ref="AC111:AC113"/>
    <mergeCell ref="U112:V112"/>
    <mergeCell ref="U113:V113"/>
    <mergeCell ref="BH107:BI107"/>
    <mergeCell ref="T108:T110"/>
    <mergeCell ref="U108:V108"/>
    <mergeCell ref="Z108:Z110"/>
    <mergeCell ref="AA108:AA110"/>
    <mergeCell ref="AB108:AB110"/>
    <mergeCell ref="AC108:AC110"/>
    <mergeCell ref="U109:V109"/>
    <mergeCell ref="U110:V110"/>
    <mergeCell ref="AR107:AS107"/>
    <mergeCell ref="AV107:AW107"/>
    <mergeCell ref="AX107:AY107"/>
    <mergeCell ref="AZ107:BA107"/>
    <mergeCell ref="BD107:BE107"/>
    <mergeCell ref="BF107:BG107"/>
    <mergeCell ref="AC105:AC107"/>
    <mergeCell ref="AH105:AM105"/>
    <mergeCell ref="AN105:AS105"/>
    <mergeCell ref="AP107:AQ107"/>
    <mergeCell ref="U106:V106"/>
    <mergeCell ref="U107:V107"/>
    <mergeCell ref="AH107:AI107"/>
    <mergeCell ref="AJ107:AK107"/>
    <mergeCell ref="AL107:AM107"/>
    <mergeCell ref="AN107:AO107"/>
    <mergeCell ref="Q102:AE102"/>
    <mergeCell ref="Q104:S104"/>
    <mergeCell ref="U104:V104"/>
    <mergeCell ref="Q105:R107"/>
    <mergeCell ref="S105:S107"/>
    <mergeCell ref="T105:T107"/>
    <mergeCell ref="U105:V105"/>
    <mergeCell ref="Z105:Z107"/>
    <mergeCell ref="AA105:AA107"/>
    <mergeCell ref="AB105:AB107"/>
    <mergeCell ref="S96:V96"/>
    <mergeCell ref="W96:Y96"/>
    <mergeCell ref="Z96:AB96"/>
    <mergeCell ref="S98:T98"/>
    <mergeCell ref="W98:Y98"/>
    <mergeCell ref="S99:T99"/>
    <mergeCell ref="W99:Y99"/>
    <mergeCell ref="Z90:AB90"/>
    <mergeCell ref="Z91:AB91"/>
    <mergeCell ref="Q92:R93"/>
    <mergeCell ref="S92:T93"/>
    <mergeCell ref="U92:V93"/>
    <mergeCell ref="W92:Y92"/>
    <mergeCell ref="W93:Y93"/>
    <mergeCell ref="AC86:AE86"/>
    <mergeCell ref="AC87:AE87"/>
    <mergeCell ref="Q88:R89"/>
    <mergeCell ref="S88:T89"/>
    <mergeCell ref="U88:V89"/>
    <mergeCell ref="W88:Y88"/>
    <mergeCell ref="W89:Y89"/>
    <mergeCell ref="Z82:AB82"/>
    <mergeCell ref="Z83:AB83"/>
    <mergeCell ref="Q84:R85"/>
    <mergeCell ref="S84:T85"/>
    <mergeCell ref="U84:V85"/>
    <mergeCell ref="W84:Y84"/>
    <mergeCell ref="W85:Y85"/>
    <mergeCell ref="AC78:AE78"/>
    <mergeCell ref="AC79:AE79"/>
    <mergeCell ref="S80:T80"/>
    <mergeCell ref="W80:Y80"/>
    <mergeCell ref="S81:T81"/>
    <mergeCell ref="W81:Y81"/>
    <mergeCell ref="Z74:AB74"/>
    <mergeCell ref="Z75:AB75"/>
    <mergeCell ref="S76:T76"/>
    <mergeCell ref="W76:Y76"/>
    <mergeCell ref="AC76:AE76"/>
    <mergeCell ref="S77:T77"/>
    <mergeCell ref="W77:Y77"/>
    <mergeCell ref="AC70:AE70"/>
    <mergeCell ref="AC71:AE71"/>
    <mergeCell ref="Q72:R73"/>
    <mergeCell ref="S72:T73"/>
    <mergeCell ref="U72:V73"/>
    <mergeCell ref="W72:Y72"/>
    <mergeCell ref="W73:Y73"/>
    <mergeCell ref="Z66:AB66"/>
    <mergeCell ref="Z67:AB67"/>
    <mergeCell ref="Q68:R69"/>
    <mergeCell ref="S68:T69"/>
    <mergeCell ref="U68:V69"/>
    <mergeCell ref="W68:Y68"/>
    <mergeCell ref="W69:Y69"/>
    <mergeCell ref="AC57:AC59"/>
    <mergeCell ref="U58:V58"/>
    <mergeCell ref="U59:V59"/>
    <mergeCell ref="Q64:R65"/>
    <mergeCell ref="S64:T65"/>
    <mergeCell ref="U64:V65"/>
    <mergeCell ref="W64:Y64"/>
    <mergeCell ref="W65:Y65"/>
    <mergeCell ref="U56:V56"/>
    <mergeCell ref="T57:T59"/>
    <mergeCell ref="U57:V57"/>
    <mergeCell ref="Z57:Z59"/>
    <mergeCell ref="AA57:AA59"/>
    <mergeCell ref="AB57:AB59"/>
    <mergeCell ref="BD53:BE53"/>
    <mergeCell ref="BF53:BG53"/>
    <mergeCell ref="BH53:BI53"/>
    <mergeCell ref="T54:T56"/>
    <mergeCell ref="U54:V54"/>
    <mergeCell ref="Z54:Z56"/>
    <mergeCell ref="AA54:AA56"/>
    <mergeCell ref="AB54:AB56"/>
    <mergeCell ref="AC54:AC56"/>
    <mergeCell ref="U55:V55"/>
    <mergeCell ref="AN53:AO53"/>
    <mergeCell ref="AP53:AQ53"/>
    <mergeCell ref="AR53:AS53"/>
    <mergeCell ref="AV53:AW53"/>
    <mergeCell ref="AX53:AY53"/>
    <mergeCell ref="AZ53:BA53"/>
    <mergeCell ref="AA51:AA53"/>
    <mergeCell ref="AB51:AB53"/>
    <mergeCell ref="AC51:AC53"/>
    <mergeCell ref="AH51:AM51"/>
    <mergeCell ref="AN51:AS51"/>
    <mergeCell ref="U52:V52"/>
    <mergeCell ref="U53:V53"/>
    <mergeCell ref="AH53:AI53"/>
    <mergeCell ref="AJ53:AK53"/>
    <mergeCell ref="AL53:AM53"/>
    <mergeCell ref="AC46:AC48"/>
    <mergeCell ref="U47:V47"/>
    <mergeCell ref="U48:V48"/>
    <mergeCell ref="Q50:S50"/>
    <mergeCell ref="U50:V50"/>
    <mergeCell ref="Q51:R53"/>
    <mergeCell ref="S51:S53"/>
    <mergeCell ref="T51:T53"/>
    <mergeCell ref="U51:V51"/>
    <mergeCell ref="Z51:Z53"/>
    <mergeCell ref="U45:V45"/>
    <mergeCell ref="T46:T48"/>
    <mergeCell ref="U46:V46"/>
    <mergeCell ref="Z46:Z48"/>
    <mergeCell ref="AA46:AA48"/>
    <mergeCell ref="AB46:AB48"/>
    <mergeCell ref="BD42:BE42"/>
    <mergeCell ref="BF42:BG42"/>
    <mergeCell ref="BH42:BI42"/>
    <mergeCell ref="T43:T45"/>
    <mergeCell ref="U43:V43"/>
    <mergeCell ref="Z43:Z45"/>
    <mergeCell ref="AA43:AA45"/>
    <mergeCell ref="AB43:AB45"/>
    <mergeCell ref="AC43:AC45"/>
    <mergeCell ref="U44:V44"/>
    <mergeCell ref="AN42:AO42"/>
    <mergeCell ref="AP42:AQ42"/>
    <mergeCell ref="AR42:AS42"/>
    <mergeCell ref="AV42:AW42"/>
    <mergeCell ref="AX42:AY42"/>
    <mergeCell ref="AZ42:BA42"/>
    <mergeCell ref="AA40:AA42"/>
    <mergeCell ref="AB40:AB42"/>
    <mergeCell ref="AC40:AC42"/>
    <mergeCell ref="AH40:AM40"/>
    <mergeCell ref="AN40:AS40"/>
    <mergeCell ref="U41:V41"/>
    <mergeCell ref="U42:V42"/>
    <mergeCell ref="AH42:AI42"/>
    <mergeCell ref="AJ42:AK42"/>
    <mergeCell ref="AL42:AM42"/>
    <mergeCell ref="AC35:AC37"/>
    <mergeCell ref="U36:V36"/>
    <mergeCell ref="U37:V37"/>
    <mergeCell ref="Q39:S39"/>
    <mergeCell ref="U39:V39"/>
    <mergeCell ref="Q40:R42"/>
    <mergeCell ref="S40:S42"/>
    <mergeCell ref="T40:T42"/>
    <mergeCell ref="U40:V40"/>
    <mergeCell ref="Z40:Z42"/>
    <mergeCell ref="U34:V34"/>
    <mergeCell ref="T35:T37"/>
    <mergeCell ref="U35:V35"/>
    <mergeCell ref="Z35:Z37"/>
    <mergeCell ref="AA35:AA37"/>
    <mergeCell ref="AB35:AB37"/>
    <mergeCell ref="BD31:BE31"/>
    <mergeCell ref="BF31:BG31"/>
    <mergeCell ref="BH31:BI31"/>
    <mergeCell ref="T32:T34"/>
    <mergeCell ref="U32:V32"/>
    <mergeCell ref="Z32:Z34"/>
    <mergeCell ref="AA32:AA34"/>
    <mergeCell ref="AB32:AB34"/>
    <mergeCell ref="AC32:AC34"/>
    <mergeCell ref="U33:V33"/>
    <mergeCell ref="AN31:AO31"/>
    <mergeCell ref="AP31:AQ31"/>
    <mergeCell ref="AR31:AS31"/>
    <mergeCell ref="AV31:AW31"/>
    <mergeCell ref="AX31:AY31"/>
    <mergeCell ref="AZ31:BA31"/>
    <mergeCell ref="AA29:AA31"/>
    <mergeCell ref="AB29:AB31"/>
    <mergeCell ref="AC29:AC31"/>
    <mergeCell ref="AH29:AM29"/>
    <mergeCell ref="AN29:AS29"/>
    <mergeCell ref="U30:V30"/>
    <mergeCell ref="U31:V31"/>
    <mergeCell ref="AH31:AI31"/>
    <mergeCell ref="AJ31:AK31"/>
    <mergeCell ref="AL31:AM31"/>
    <mergeCell ref="AC24:AC26"/>
    <mergeCell ref="U25:V25"/>
    <mergeCell ref="U26:V26"/>
    <mergeCell ref="Q28:S28"/>
    <mergeCell ref="U28:V28"/>
    <mergeCell ref="Q29:R31"/>
    <mergeCell ref="S29:S31"/>
    <mergeCell ref="T29:T31"/>
    <mergeCell ref="U29:V29"/>
    <mergeCell ref="Z29:Z31"/>
    <mergeCell ref="U23:V23"/>
    <mergeCell ref="T24:T26"/>
    <mergeCell ref="U24:V24"/>
    <mergeCell ref="Z24:Z26"/>
    <mergeCell ref="AA24:AA26"/>
    <mergeCell ref="AB24:AB26"/>
    <mergeCell ref="BD20:BE20"/>
    <mergeCell ref="BF20:BG20"/>
    <mergeCell ref="BH20:BI20"/>
    <mergeCell ref="T21:T23"/>
    <mergeCell ref="U21:V21"/>
    <mergeCell ref="Z21:Z23"/>
    <mergeCell ref="AA21:AA23"/>
    <mergeCell ref="AB21:AB23"/>
    <mergeCell ref="AC21:AC23"/>
    <mergeCell ref="U22:V22"/>
    <mergeCell ref="AN20:AO20"/>
    <mergeCell ref="AP20:AQ20"/>
    <mergeCell ref="AR20:AS20"/>
    <mergeCell ref="AV20:AW20"/>
    <mergeCell ref="AX20:AY20"/>
    <mergeCell ref="AZ20:BA20"/>
    <mergeCell ref="AA18:AA20"/>
    <mergeCell ref="AB18:AB20"/>
    <mergeCell ref="AC18:AC20"/>
    <mergeCell ref="AH18:AM18"/>
    <mergeCell ref="AN18:AS18"/>
    <mergeCell ref="U19:V19"/>
    <mergeCell ref="U20:V20"/>
    <mergeCell ref="AH20:AI20"/>
    <mergeCell ref="AJ20:AK20"/>
    <mergeCell ref="AL20:AM20"/>
    <mergeCell ref="AC13:AC15"/>
    <mergeCell ref="U14:V14"/>
    <mergeCell ref="U15:V15"/>
    <mergeCell ref="Q17:S17"/>
    <mergeCell ref="U17:V17"/>
    <mergeCell ref="Q18:R20"/>
    <mergeCell ref="S18:S20"/>
    <mergeCell ref="T18:T20"/>
    <mergeCell ref="U18:V18"/>
    <mergeCell ref="Z18:Z20"/>
    <mergeCell ref="U12:V12"/>
    <mergeCell ref="T13:T15"/>
    <mergeCell ref="U13:V13"/>
    <mergeCell ref="Z13:Z15"/>
    <mergeCell ref="AA13:AA15"/>
    <mergeCell ref="AB13:AB15"/>
    <mergeCell ref="BD9:BE9"/>
    <mergeCell ref="BF9:BG9"/>
    <mergeCell ref="BH9:BI9"/>
    <mergeCell ref="T10:T12"/>
    <mergeCell ref="U10:V10"/>
    <mergeCell ref="Z10:Z12"/>
    <mergeCell ref="AA10:AA12"/>
    <mergeCell ref="AB10:AB12"/>
    <mergeCell ref="AC10:AC12"/>
    <mergeCell ref="U11:V11"/>
    <mergeCell ref="AN9:AO9"/>
    <mergeCell ref="AP9:AQ9"/>
    <mergeCell ref="AR9:AS9"/>
    <mergeCell ref="AV9:AW9"/>
    <mergeCell ref="AX9:AY9"/>
    <mergeCell ref="AZ9:BA9"/>
    <mergeCell ref="AA7:AA9"/>
    <mergeCell ref="AB7:AB9"/>
    <mergeCell ref="AC7:AC9"/>
    <mergeCell ref="AH7:AM7"/>
    <mergeCell ref="AN7:AS7"/>
    <mergeCell ref="U8:V8"/>
    <mergeCell ref="U9:V9"/>
    <mergeCell ref="AH9:AI9"/>
    <mergeCell ref="AJ9:AK9"/>
    <mergeCell ref="AL9:AM9"/>
    <mergeCell ref="Q1:AE1"/>
    <mergeCell ref="Q2:AE2"/>
    <mergeCell ref="Q4:AE4"/>
    <mergeCell ref="Q6:S6"/>
    <mergeCell ref="U6:V6"/>
    <mergeCell ref="Q7:R9"/>
    <mergeCell ref="S7:S9"/>
    <mergeCell ref="T7:T9"/>
    <mergeCell ref="U7:V7"/>
    <mergeCell ref="Z7:Z9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U49"/>
  <sheetViews>
    <sheetView zoomScale="75" zoomScaleNormal="75" zoomScalePageLayoutView="0" workbookViewId="0" topLeftCell="M1">
      <selection activeCell="S55" sqref="S55"/>
    </sheetView>
  </sheetViews>
  <sheetFormatPr defaultColWidth="9.28125" defaultRowHeight="15"/>
  <cols>
    <col min="1" max="1" width="9.28125" style="1" hidden="1" customWidth="1"/>
    <col min="2" max="7" width="9.28125" style="2" hidden="1" customWidth="1"/>
    <col min="8" max="9" width="18.7109375" style="2" hidden="1" customWidth="1"/>
    <col min="10" max="10" width="19.7109375" style="2" hidden="1" customWidth="1"/>
    <col min="11" max="11" width="3.7109375" style="115" hidden="1" customWidth="1"/>
    <col min="12" max="12" width="21.140625" style="115" hidden="1" customWidth="1"/>
    <col min="13" max="13" width="3.7109375" style="224" customWidth="1"/>
    <col min="14" max="14" width="7.28125" style="1" customWidth="1"/>
    <col min="15" max="15" width="50.7109375" style="1" customWidth="1"/>
    <col min="16" max="16" width="3.7109375" style="1" customWidth="1"/>
    <col min="17" max="20" width="25.7109375" style="1" customWidth="1"/>
    <col min="21" max="21" width="25.7109375" style="91" hidden="1" customWidth="1"/>
    <col min="22" max="16384" width="9.28125" style="2" customWidth="1"/>
  </cols>
  <sheetData>
    <row r="1" spans="13:21" ht="15.75">
      <c r="M1" s="252" t="s">
        <v>76</v>
      </c>
      <c r="N1" s="252"/>
      <c r="O1" s="252"/>
      <c r="P1" s="252"/>
      <c r="Q1" s="252"/>
      <c r="R1" s="252"/>
      <c r="S1" s="252"/>
      <c r="T1" s="252"/>
      <c r="U1" s="252"/>
    </row>
    <row r="2" spans="13:21" ht="15.75">
      <c r="M2" s="252" t="str">
        <f>IF(ISBLANK('[1]dane'!$D$3),"",'[1]dane'!$D$3)</f>
        <v>Mielec,  16-12-2012 r.</v>
      </c>
      <c r="N2" s="252"/>
      <c r="O2" s="252"/>
      <c r="P2" s="252"/>
      <c r="Q2" s="252"/>
      <c r="R2" s="252"/>
      <c r="S2" s="252"/>
      <c r="T2" s="252"/>
      <c r="U2" s="252"/>
    </row>
    <row r="3" spans="12:16" ht="11.25" customHeight="1">
      <c r="L3" s="223" t="s">
        <v>77</v>
      </c>
      <c r="N3" s="8"/>
      <c r="O3" s="8"/>
      <c r="P3" s="87"/>
    </row>
    <row r="4" spans="12:21" ht="11.25" customHeight="1">
      <c r="L4" s="225" t="s">
        <v>78</v>
      </c>
      <c r="M4" s="253" t="str">
        <f>"Gra "&amp;L4</f>
        <v>Gra Gra podwójna</v>
      </c>
      <c r="N4" s="253"/>
      <c r="O4" s="253"/>
      <c r="P4" s="253"/>
      <c r="Q4" s="253"/>
      <c r="R4" s="253"/>
      <c r="S4" s="253"/>
      <c r="T4" s="253"/>
      <c r="U4" s="253"/>
    </row>
    <row r="5" ht="11.25" customHeight="1"/>
    <row r="6" ht="15">
      <c r="L6" s="226"/>
    </row>
    <row r="7" spans="12:20" ht="12.75">
      <c r="L7" s="227">
        <v>10</v>
      </c>
      <c r="O7" s="91"/>
      <c r="P7" s="91"/>
      <c r="Q7" s="91"/>
      <c r="R7" s="91"/>
      <c r="S7" s="91"/>
      <c r="T7" s="91"/>
    </row>
    <row r="8" spans="12:20" ht="15">
      <c r="L8" s="121"/>
      <c r="M8" s="8"/>
      <c r="Q8" s="91"/>
      <c r="R8" s="91"/>
      <c r="S8" s="91"/>
      <c r="T8" s="91"/>
    </row>
    <row r="9" spans="11:20" ht="15">
      <c r="K9" s="115">
        <f>IF(L7&gt;8,1,"")</f>
        <v>1</v>
      </c>
      <c r="L9" s="118" t="s">
        <v>73</v>
      </c>
      <c r="M9" s="224">
        <f>IF(K9="","",1)</f>
        <v>1</v>
      </c>
      <c r="N9" s="228" t="str">
        <f>UPPER(IF(M9="","",IF(ISTEXT(L9),L9,IF(AND(L6&gt;0,M9&gt;0),VLOOKUP(L6&amp;M9&amp;J10,'[1]grup-puch'!I:J,2,FALSE),""))))</f>
        <v>B0001</v>
      </c>
      <c r="O9" s="229" t="str">
        <f>IF(N9&lt;&gt;"",CONCATENATE(VLOOKUP(N9,'[1]zawodnicy'!$A:$E,2,FALSE)," ",VLOOKUP(N9,'[1]zawodnicy'!$A:$E,3,FALSE)," - ",VLOOKUP(N9,'[1]zawodnicy'!$A:$E,4,FALSE)),"")</f>
        <v>Maciej BARAN - Rzeszów</v>
      </c>
      <c r="P9" s="230"/>
      <c r="Q9" s="105" t="str">
        <f>IF(F10="","",VLOOKUP(F10,'[1]zawodnicy'!$A:$D,3,FALSE))</f>
        <v>BARAN</v>
      </c>
      <c r="R9" s="101"/>
      <c r="S9" s="101"/>
      <c r="T9" s="101"/>
    </row>
    <row r="10" spans="1:20" ht="15">
      <c r="A10" s="92">
        <f>P10</f>
        <v>0</v>
      </c>
      <c r="B10" s="2" t="str">
        <f>IF(N9="","",N9)</f>
        <v>B0001</v>
      </c>
      <c r="C10" s="2" t="str">
        <f>IF(N10="","",N10)</f>
        <v>P0003</v>
      </c>
      <c r="D10" s="2">
        <f>IF(N11="","",N11)</f>
      </c>
      <c r="E10" s="2">
        <f>IF(N12="","",N12)</f>
      </c>
      <c r="F10" s="2" t="str">
        <f>IF(A10=0,IF(AND(LEN(B10)&gt;0,LEN(D10)=0),VLOOKUP(B10,'[1]zawodnicy'!$A:$E,1,FALSE),IF(AND(LEN(D10)&gt;0,LEN(B10)=0),VLOOKUP(D10,'[1]zawodnicy'!$A:$E,1,FALSE),"")),IF((VLOOKUP(A10,'[1]plan gier'!$X:$AF,7,FALSE))="","",VLOOKUP(VLOOKUP(A10,'[1]plan gier'!$X:$AF,7,FALSE),'[1]zawodnicy'!$A:$E,1,FALSE)))</f>
        <v>B0001</v>
      </c>
      <c r="G10" s="2" t="str">
        <f>IF(A10=0,IF(AND(LEN(C10)&gt;1,LEN(E10)=0),VLOOKUP(C10,'[1]zawodnicy'!$A:$E,1,FALSE),IF(AND(LEN(E10)&gt;1,LEN(C10)=0),VLOOKUP(E10,'[1]zawodnicy'!$A:$E,1,FALSE),"")),IF((VLOOKUP(A10,'[1]plan gier'!$X:$AF,8,FALSE))="","",VLOOKUP(VLOOKUP(A10,'[1]plan gier'!$X:$AF,8,FALSE),'[1]zawodnicy'!$A:$E,1,FALSE)))</f>
        <v>P0003</v>
      </c>
      <c r="H10" s="2">
        <f>IF(A10=0,"",IF((VLOOKUP(A10,'[1]plan gier'!$X:$AF,7,FALSE))="","",VLOOKUP(A10,'[1]plan gier'!$X:$AF,9,FALSE)))</f>
      </c>
      <c r="I10" s="2">
        <f>IF(A10=0,"",IF(VLOOKUP(A10,'[1]plan gier'!A:S,19,FALSE)="","",VLOOKUP(A10,'[1]plan gier'!A:S,19,FALSE)))</f>
      </c>
      <c r="J10" s="2">
        <f>L8</f>
        <v>0</v>
      </c>
      <c r="L10" s="118" t="s">
        <v>67</v>
      </c>
      <c r="N10" s="231" t="str">
        <f>UPPER(IF(M9="","",IF(ISTEXT(L10),L10,IF(AND(L6&gt;0,M9&gt;0),VLOOKUP(L6&amp;M9&amp;J10,'[1]grup-puch'!I:K,3,FALSE),""))))</f>
        <v>P0003</v>
      </c>
      <c r="O10" s="232" t="str">
        <f>IF(N10&lt;&gt;"",CONCATENATE(VLOOKUP(N10,'[1]zawodnicy'!$A:$E,2,FALSE)," ",VLOOKUP(N10,'[1]zawodnicy'!$A:$E,3,FALSE)," - ",VLOOKUP(N10,'[1]zawodnicy'!$A:$E,4,FALSE)),"")</f>
        <v>Łukasz PIENIĄŻEK - Rzeszów</v>
      </c>
      <c r="P10" s="233"/>
      <c r="Q10" s="96" t="str">
        <f>IF(G10="","",VLOOKUP(G10,'[1]zawodnicy'!$A:$D,3,FALSE))</f>
        <v>PIENIĄŻEK</v>
      </c>
      <c r="R10" s="101"/>
      <c r="S10" s="101"/>
      <c r="T10" s="101"/>
    </row>
    <row r="11" spans="11:20" ht="15">
      <c r="K11" s="115">
        <f>IF(L7&gt;15,3,"")</f>
      </c>
      <c r="L11" s="118"/>
      <c r="M11" s="224">
        <f>IF(K11="","",2)</f>
      </c>
      <c r="N11" s="228">
        <f>UPPER(IF(M11="","",IF(ISTEXT(L11),L11,IF(AND(L6&gt;0,M11&gt;0),VLOOKUP(L6&amp;M11&amp;J10,'[1]grup-puch'!I:J,2,FALSE),""))))</f>
      </c>
      <c r="O11" s="229">
        <f>IF(N11&lt;&gt;"",CONCATENATE(VLOOKUP(N11,'[1]zawodnicy'!$A:$E,2,FALSE)," ",VLOOKUP(N11,'[1]zawodnicy'!$A:$E,3,FALSE)," - ",VLOOKUP(N11,'[1]zawodnicy'!$A:$E,4,FALSE)),"")</f>
      </c>
      <c r="P11" s="234"/>
      <c r="Q11" s="235">
        <f>IF(H10="",I10,H10)</f>
      </c>
      <c r="R11" s="105" t="str">
        <f>IF(F12="","",VLOOKUP(F12,'[1]zawodnicy'!$A:$D,3,FALSE))</f>
        <v>BARAN</v>
      </c>
      <c r="S11" s="101"/>
      <c r="T11" s="101"/>
    </row>
    <row r="12" spans="1:20" ht="15.75" thickBot="1">
      <c r="A12" s="98">
        <f>Q12</f>
        <v>61</v>
      </c>
      <c r="B12" s="2" t="str">
        <f>F10</f>
        <v>B0001</v>
      </c>
      <c r="C12" s="2" t="str">
        <f>G10</f>
        <v>P0003</v>
      </c>
      <c r="D12" s="2" t="str">
        <f>F14</f>
        <v>G0013</v>
      </c>
      <c r="E12" s="2" t="str">
        <f>G14</f>
        <v>S0032</v>
      </c>
      <c r="F12" s="2" t="str">
        <f>IF(A12=0,IF(AND(LEN(B12)&gt;0,LEN(D12)=0),B12,IF(AND(LEN(D12)&gt;0,LEN(B12)=0),D12,"")),IF((VLOOKUP(A12,'[1]plan gier'!$X:$AF,7,FALSE))="","",VLOOKUP(VLOOKUP(A12,'[1]plan gier'!$X:$AF,7,FALSE),'[1]zawodnicy'!$A:$E,1,FALSE)))</f>
        <v>B0001</v>
      </c>
      <c r="G12" s="2" t="str">
        <f>IF(A12=0,IF(AND(LEN(C12)&gt;0,LEN(E12)=0),C12,IF(AND(LEN(E12)&gt;0,LEN(C12)=0),E12,"")),IF((VLOOKUP(A12,'[1]plan gier'!$X:$AF,8,FALSE))="","",VLOOKUP(VLOOKUP(A12,'[1]plan gier'!$X:$AF,8,FALSE),'[1]zawodnicy'!$A:$E,1,FALSE)))</f>
        <v>P0003</v>
      </c>
      <c r="H12" s="2" t="str">
        <f>IF(A12=0,"",IF((VLOOKUP(A12,'[1]plan gier'!$X:$AF,7,FALSE))="","",VLOOKUP(A12,'[1]plan gier'!$X:$AF,9,FALSE)))</f>
        <v>21:0,21:4</v>
      </c>
      <c r="I12" s="2" t="str">
        <f>IF(A12=0,"",IF(VLOOKUP(A12,'[1]plan gier'!A:S,19,FALSE)="","",VLOOKUP(A12,'[1]plan gier'!A:S,19,FALSE)))</f>
        <v>godz.14:00</v>
      </c>
      <c r="J12" s="2">
        <f>L8</f>
        <v>0</v>
      </c>
      <c r="L12" s="236"/>
      <c r="N12" s="237">
        <f>UPPER(IF(M11="","",IF(ISTEXT(L12),L12,IF(AND(L6&gt;0,M11&gt;0),VLOOKUP(L6&amp;M11&amp;J10,'[1]grup-puch'!I:K,3,FALSE),""))))</f>
      </c>
      <c r="O12" s="238">
        <f>IF(N12&lt;&gt;"",CONCATENATE(VLOOKUP(N12,'[1]zawodnicy'!$A:$E,2,FALSE)," ",VLOOKUP(N12,'[1]zawodnicy'!$A:$E,3,FALSE)," - ",VLOOKUP(N12,'[1]zawodnicy'!$A:$E,4,FALSE)),"")</f>
      </c>
      <c r="P12" s="239"/>
      <c r="Q12" s="102">
        <v>61</v>
      </c>
      <c r="R12" s="96" t="str">
        <f>IF(G12="","",VLOOKUP(G12,'[1]zawodnicy'!$A:$D,3,FALSE))</f>
        <v>PIENIĄŻEK</v>
      </c>
      <c r="S12" s="101"/>
      <c r="T12" s="101"/>
    </row>
    <row r="13" spans="11:20" ht="15.75" thickTop="1">
      <c r="K13" s="115">
        <f>IF(L7&gt;8,5,"")</f>
        <v>5</v>
      </c>
      <c r="L13" s="240" t="s">
        <v>27</v>
      </c>
      <c r="M13" s="224">
        <f>IF(K13="","",MAX(M9:M12)+1)</f>
        <v>2</v>
      </c>
      <c r="N13" s="241" t="str">
        <f>UPPER(IF(M13="","",IF(ISTEXT(L13),L13,IF(AND(L6&gt;0,M13&gt;0),VLOOKUP(L6&amp;M13&amp;J14,'[1]grup-puch'!I:J,2,FALSE),""))))</f>
        <v>G0013</v>
      </c>
      <c r="O13" s="99" t="str">
        <f>IF(N13&lt;&gt;"",CONCATENATE(VLOOKUP(N13,'[1]zawodnicy'!$A:$E,2,FALSE)," ",VLOOKUP(N13,'[1]zawodnicy'!$A:$E,3,FALSE)," - ",VLOOKUP(N13,'[1]zawodnicy'!$A:$E,4,FALSE)),"")</f>
        <v>Bartosz GROCHOCKI - Mielec</v>
      </c>
      <c r="P13" s="234"/>
      <c r="Q13" s="242" t="str">
        <f>IF(F14="","",VLOOKUP(F14,'[1]zawodnicy'!$A:$D,3,FALSE))</f>
        <v>GROCHOCKI</v>
      </c>
      <c r="R13" s="103" t="str">
        <f>IF(H12="",I12,H12)</f>
        <v>21:0,21:4</v>
      </c>
      <c r="S13" s="101"/>
      <c r="T13" s="101"/>
    </row>
    <row r="14" spans="1:20" ht="15">
      <c r="A14" s="92">
        <f>P14</f>
        <v>0</v>
      </c>
      <c r="B14" s="2" t="str">
        <f>IF(N13="","",N13)</f>
        <v>G0013</v>
      </c>
      <c r="C14" s="2" t="str">
        <f>IF(N14="","",N14)</f>
        <v>S0032</v>
      </c>
      <c r="D14" s="2">
        <f>IF(N15="","",N15)</f>
      </c>
      <c r="E14" s="2">
        <f>IF(N16="","",N16)</f>
      </c>
      <c r="F14" s="2" t="str">
        <f>IF(A14=0,IF(AND(LEN(B14)&gt;0,LEN(D14)=0),VLOOKUP(B14,'[1]zawodnicy'!$A:$E,1,FALSE),IF(AND(LEN(D14)&gt;0,LEN(B14)=0),VLOOKUP(D14,'[1]zawodnicy'!$A:$E,1,FALSE),"")),IF((VLOOKUP(A14,'[1]plan gier'!$X:$AF,7,FALSE))="","",VLOOKUP(VLOOKUP(A14,'[1]plan gier'!$X:$AF,7,FALSE),'[1]zawodnicy'!$A:$E,1,FALSE)))</f>
        <v>G0013</v>
      </c>
      <c r="G14" s="2" t="str">
        <f>IF(A14=0,IF(AND(LEN(C14)&gt;1,LEN(E14)=0),VLOOKUP(C14,'[1]zawodnicy'!$A:$E,1,FALSE),IF(AND(LEN(E14)&gt;1,LEN(C14)=0),VLOOKUP(E14,'[1]zawodnicy'!$A:$E,1,FALSE),"")),IF((VLOOKUP(A14,'[1]plan gier'!$X:$AF,8,FALSE))="","",VLOOKUP(VLOOKUP(A14,'[1]plan gier'!$X:$AF,8,FALSE),'[1]zawodnicy'!$A:$E,1,FALSE)))</f>
        <v>S0032</v>
      </c>
      <c r="H14" s="2">
        <f>IF(A14=0,"",IF((VLOOKUP(A14,'[1]plan gier'!$X:$AF,7,FALSE))="","",VLOOKUP(A14,'[1]plan gier'!$X:$AF,9,FALSE)))</f>
      </c>
      <c r="I14" s="2">
        <f>IF(A14=0,"",IF(VLOOKUP(A14,'[1]plan gier'!A:S,19,FALSE)="","",VLOOKUP(A14,'[1]plan gier'!A:S,19,FALSE)))</f>
      </c>
      <c r="J14" s="2">
        <f>L8</f>
        <v>0</v>
      </c>
      <c r="L14" s="118" t="s">
        <v>23</v>
      </c>
      <c r="N14" s="231" t="str">
        <f>UPPER(IF(M13="","",IF(ISTEXT(L14),L14,IF(AND(L6&gt;0,M13&gt;0),VLOOKUP(L6&amp;M13&amp;J14,'[1]grup-puch'!I:K,3,FALSE),""))))</f>
        <v>S0032</v>
      </c>
      <c r="O14" s="232" t="str">
        <f>IF(N14&lt;&gt;"",CONCATENATE(VLOOKUP(N14,'[1]zawodnicy'!$A:$E,2,FALSE)," ",VLOOKUP(N14,'[1]zawodnicy'!$A:$E,3,FALSE)," - ",VLOOKUP(N14,'[1]zawodnicy'!$A:$E,4,FALSE)),"")</f>
        <v>Łukasz SZANTULA - Mielec</v>
      </c>
      <c r="P14" s="233"/>
      <c r="Q14" s="243" t="str">
        <f>IF(G14="","",VLOOKUP(G14,'[1]zawodnicy'!$A:$D,3,FALSE))</f>
        <v>SZANTULA</v>
      </c>
      <c r="R14" s="103"/>
      <c r="S14" s="101"/>
      <c r="T14" s="101"/>
    </row>
    <row r="15" spans="11:20" ht="15">
      <c r="K15" s="115">
        <f>IF(L7&gt;11,7,"")</f>
      </c>
      <c r="L15" s="118"/>
      <c r="M15" s="224">
        <f>IF(K15="","",MAX(M9:M14)+1)</f>
      </c>
      <c r="N15" s="228">
        <f>UPPER(IF(M15="","",IF(ISTEXT(L15),L15,IF(AND(L6&gt;0,M15&gt;0),VLOOKUP(L6&amp;M15&amp;J14,'[1]grup-puch'!I:J,2,FALSE),""))))</f>
      </c>
      <c r="O15" s="229">
        <f>IF(N15&lt;&gt;"",CONCATENATE(VLOOKUP(N15,'[1]zawodnicy'!$A:$E,2,FALSE)," ",VLOOKUP(N15,'[1]zawodnicy'!$A:$E,3,FALSE)," - ",VLOOKUP(N15,'[1]zawodnicy'!$A:$E,4,FALSE)),"")</f>
      </c>
      <c r="P15" s="234"/>
      <c r="Q15" s="97">
        <f>IF(H14="",I14,H14)</f>
      </c>
      <c r="R15" s="103"/>
      <c r="S15" s="105" t="str">
        <f>IF(F16="","",VLOOKUP(F16,'[1]zawodnicy'!$A:$D,3,FALSE))</f>
        <v>BARAN</v>
      </c>
      <c r="T15" s="101"/>
    </row>
    <row r="16" spans="1:20" ht="15.75" thickBot="1">
      <c r="A16" s="244">
        <f>R16</f>
        <v>65</v>
      </c>
      <c r="B16" s="2" t="str">
        <f>F12</f>
        <v>B0001</v>
      </c>
      <c r="C16" s="2" t="str">
        <f>G12</f>
        <v>P0003</v>
      </c>
      <c r="D16" s="2" t="str">
        <f>F20</f>
        <v>M0027</v>
      </c>
      <c r="E16" s="2" t="str">
        <f>G20</f>
        <v>R0013</v>
      </c>
      <c r="F16" s="2" t="str">
        <f>IF(A16=0,IF(AND(LEN(B16)&gt;0,LEN(D16)=0),B16,IF(AND(LEN(D16)&gt;0,LEN(B16)=0),D16,"")),IF((VLOOKUP(A16,'[1]plan gier'!$X:$AF,7,FALSE))="","",VLOOKUP(VLOOKUP(A16,'[1]plan gier'!$X:$AF,7,FALSE),'[1]zawodnicy'!$A:$E,1,FALSE)))</f>
        <v>B0001</v>
      </c>
      <c r="G16" s="2" t="str">
        <f>IF(A16=0,IF(AND(LEN(C16)&gt;0,LEN(E16)=0),C16,IF(AND(LEN(E16)&gt;0,LEN(C16)=0),E16,"")),IF((VLOOKUP(A16,'[1]plan gier'!$X:$AF,8,FALSE))="","",VLOOKUP(VLOOKUP(A16,'[1]plan gier'!$X:$AF,8,FALSE),'[1]zawodnicy'!$A:$E,1,FALSE)))</f>
        <v>P0003</v>
      </c>
      <c r="H16" s="2" t="str">
        <f>IF(A16=0,"",IF((VLOOKUP(A16,'[1]plan gier'!$X:$AF,7,FALSE))="","",VLOOKUP(A16,'[1]plan gier'!$X:$AF,9,FALSE)))</f>
        <v>21:14,26:24</v>
      </c>
      <c r="I16" s="2" t="str">
        <f>IF(A16=0,"",IF(VLOOKUP(A16,'[1]plan gier'!A:S,19,FALSE)="","",VLOOKUP(A16,'[1]plan gier'!A:S,19,FALSE)))</f>
        <v>godz.14:20</v>
      </c>
      <c r="J16" s="2">
        <f>L8</f>
        <v>0</v>
      </c>
      <c r="L16" s="236"/>
      <c r="N16" s="237">
        <f>UPPER(IF(M15="","",IF(ISTEXT(L16),L16,IF(AND(L6&gt;0,M15&gt;0),VLOOKUP(L6&amp;M15&amp;J14,'[1]grup-puch'!I:K,3,FALSE),""))))</f>
      </c>
      <c r="O16" s="238">
        <f>IF(N16&lt;&gt;"",CONCATENATE(VLOOKUP(N16,'[1]zawodnicy'!$A:$E,2,FALSE)," ",VLOOKUP(N16,'[1]zawodnicy'!$A:$E,3,FALSE)," - ",VLOOKUP(N16,'[1]zawodnicy'!$A:$E,4,FALSE)),"")</f>
      </c>
      <c r="P16" s="239"/>
      <c r="Q16" s="105"/>
      <c r="R16" s="102">
        <v>65</v>
      </c>
      <c r="S16" s="96" t="str">
        <f>IF(G16="","",VLOOKUP(G16,'[1]zawodnicy'!$A:$D,3,FALSE))</f>
        <v>PIENIĄŻEK</v>
      </c>
      <c r="T16" s="101"/>
    </row>
    <row r="17" spans="11:20" ht="15.75" thickTop="1">
      <c r="K17" s="115">
        <f>IF(L7&gt;8,9,"")</f>
        <v>9</v>
      </c>
      <c r="L17" s="240" t="s">
        <v>24</v>
      </c>
      <c r="M17" s="224">
        <f>IF(K17="","",MAX(M9:M16)+1)</f>
        <v>3</v>
      </c>
      <c r="N17" s="241" t="str">
        <f>UPPER(IF(M17="","",IF(ISTEXT(L17),L17,IF(AND(L6&gt;0,M17&gt;0),VLOOKUP(L6&amp;M17&amp;J18,'[1]grup-puch'!I:J,2,FALSE),""))))</f>
        <v>M0026</v>
      </c>
      <c r="O17" s="99" t="str">
        <f>IF(N17&lt;&gt;"",CONCATENATE(VLOOKUP(N17,'[1]zawodnicy'!$A:$E,2,FALSE)," ",VLOOKUP(N17,'[1]zawodnicy'!$A:$E,3,FALSE)," - ",VLOOKUP(N17,'[1]zawodnicy'!$A:$E,4,FALSE)),"")</f>
        <v>Wojciech MACHAJ - Mielec</v>
      </c>
      <c r="P17" s="234"/>
      <c r="Q17" s="105" t="str">
        <f>IF(F18="","",VLOOKUP(F18,'[1]zawodnicy'!$A:$D,3,FALSE))</f>
        <v>MACHAJ</v>
      </c>
      <c r="R17" s="103"/>
      <c r="S17" s="242" t="str">
        <f>IF(H16="",I16,H16)</f>
        <v>21:14,26:24</v>
      </c>
      <c r="T17" s="101"/>
    </row>
    <row r="18" spans="1:20" ht="15">
      <c r="A18" s="92">
        <f>P18</f>
        <v>0</v>
      </c>
      <c r="B18" s="2" t="str">
        <f>IF(N17="","",N17)</f>
        <v>M0026</v>
      </c>
      <c r="C18" s="2" t="str">
        <f>IF(N18="","",N18)</f>
        <v>S0029</v>
      </c>
      <c r="D18" s="2">
        <f>IF(N19="","",N19)</f>
      </c>
      <c r="E18" s="2">
        <f>IF(N20="","",N20)</f>
      </c>
      <c r="F18" s="2" t="str">
        <f>IF(A18=0,IF(AND(LEN(B18)&gt;0,LEN(D18)=0),VLOOKUP(B18,'[1]zawodnicy'!$A:$E,1,FALSE),IF(AND(LEN(D18)&gt;0,LEN(B18)=0),VLOOKUP(D18,'[1]zawodnicy'!$A:$E,1,FALSE),"")),IF((VLOOKUP(A18,'[1]plan gier'!$X:$AF,7,FALSE))="","",VLOOKUP(VLOOKUP(A18,'[1]plan gier'!$X:$AF,7,FALSE),'[1]zawodnicy'!$A:$E,1,FALSE)))</f>
        <v>M0026</v>
      </c>
      <c r="G18" s="2" t="str">
        <f>IF(A18=0,IF(AND(LEN(C18)&gt;1,LEN(E18)=0),VLOOKUP(C18,'[1]zawodnicy'!$A:$E,1,FALSE),IF(AND(LEN(E18)&gt;1,LEN(C18)=0),VLOOKUP(E18,'[1]zawodnicy'!$A:$E,1,FALSE),"")),IF((VLOOKUP(A18,'[1]plan gier'!$X:$AF,8,FALSE))="","",VLOOKUP(VLOOKUP(A18,'[1]plan gier'!$X:$AF,8,FALSE),'[1]zawodnicy'!$A:$E,1,FALSE)))</f>
        <v>S0029</v>
      </c>
      <c r="H18" s="2">
        <f>IF(A18=0,"",IF((VLOOKUP(A18,'[1]plan gier'!$X:$AF,7,FALSE))="","",VLOOKUP(A18,'[1]plan gier'!$X:$AF,9,FALSE)))</f>
      </c>
      <c r="I18" s="2">
        <f>IF(A18=0,"",IF(VLOOKUP(A18,'[1]plan gier'!A:S,19,FALSE)="","",VLOOKUP(A18,'[1]plan gier'!A:S,19,FALSE)))</f>
      </c>
      <c r="J18" s="2">
        <f>L8</f>
        <v>0</v>
      </c>
      <c r="L18" s="118" t="s">
        <v>26</v>
      </c>
      <c r="N18" s="231" t="str">
        <f>UPPER(IF(M17="","",IF(ISTEXT(L18),L18,IF(AND(L6&gt;0,M17&gt;0),VLOOKUP(L6&amp;M17&amp;J18,'[1]grup-puch'!I:K,3,FALSE),""))))</f>
        <v>S0029</v>
      </c>
      <c r="O18" s="232" t="str">
        <f>IF(N18&lt;&gt;"",CONCATENATE(VLOOKUP(N18,'[1]zawodnicy'!$A:$E,2,FALSE)," ",VLOOKUP(N18,'[1]zawodnicy'!$A:$E,3,FALSE)," - ",VLOOKUP(N18,'[1]zawodnicy'!$A:$E,4,FALSE)),"")</f>
        <v>Patryk STOLARZ - Mielec</v>
      </c>
      <c r="P18" s="233"/>
      <c r="Q18" s="96" t="str">
        <f>IF(G18="","",VLOOKUP(G18,'[1]zawodnicy'!$A:$D,3,FALSE))</f>
        <v>STOLARZ</v>
      </c>
      <c r="R18" s="103"/>
      <c r="S18" s="103"/>
      <c r="T18" s="101"/>
    </row>
    <row r="19" spans="11:20" ht="15">
      <c r="K19" s="115">
        <f>IF(L7&gt;13,11,"")</f>
      </c>
      <c r="L19" s="118"/>
      <c r="M19" s="224">
        <f>IF(K19="","",MAX(M9:M18)+1)</f>
      </c>
      <c r="N19" s="228">
        <f>UPPER(IF(M19="","",IF(ISTEXT(L19),L19,IF(AND(L6&gt;0,M19&gt;0),VLOOKUP(L6&amp;M19&amp;J18,'[1]grup-puch'!I:J,2,FALSE),""))))</f>
      </c>
      <c r="O19" s="229">
        <f>IF(N19&lt;&gt;"",CONCATENATE(VLOOKUP(N19,'[1]zawodnicy'!$A:$E,2,FALSE)," ",VLOOKUP(N19,'[1]zawodnicy'!$A:$E,3,FALSE)," - ",VLOOKUP(N19,'[1]zawodnicy'!$A:$E,4,FALSE)),"")</f>
      </c>
      <c r="P19" s="234"/>
      <c r="Q19" s="235">
        <f>IF(H18="",I18,H18)</f>
      </c>
      <c r="R19" s="242" t="str">
        <f>IF(F20="","",VLOOKUP(F20,'[1]zawodnicy'!$A:$D,3,FALSE))</f>
        <v>MYCEK</v>
      </c>
      <c r="S19" s="103"/>
      <c r="T19" s="101"/>
    </row>
    <row r="20" spans="1:20" ht="15.75" thickBot="1">
      <c r="A20" s="98">
        <f>Q20</f>
        <v>62</v>
      </c>
      <c r="B20" s="2" t="str">
        <f>F18</f>
        <v>M0026</v>
      </c>
      <c r="C20" s="2" t="str">
        <f>G18</f>
        <v>S0029</v>
      </c>
      <c r="D20" s="2" t="str">
        <f>F22</f>
        <v>M0027</v>
      </c>
      <c r="E20" s="2" t="str">
        <f>G22</f>
        <v>R0013</v>
      </c>
      <c r="F20" s="2" t="str">
        <f>IF(A20=0,IF(AND(LEN(B20)&gt;0,LEN(D20)=0),B20,IF(AND(LEN(D20)&gt;0,LEN(B20)=0),D20,"")),IF((VLOOKUP(A20,'[1]plan gier'!$X:$AF,7,FALSE))="","",VLOOKUP(VLOOKUP(A20,'[1]plan gier'!$X:$AF,7,FALSE),'[1]zawodnicy'!$A:$E,1,FALSE)))</f>
        <v>M0027</v>
      </c>
      <c r="G20" s="2" t="str">
        <f>IF(A20=0,IF(AND(LEN(C20)&gt;0,LEN(E20)=0),C20,IF(AND(LEN(E20)&gt;0,LEN(C20)=0),E20,"")),IF((VLOOKUP(A20,'[1]plan gier'!$X:$AF,8,FALSE))="","",VLOOKUP(VLOOKUP(A20,'[1]plan gier'!$X:$AF,8,FALSE),'[1]zawodnicy'!$A:$E,1,FALSE)))</f>
        <v>R0013</v>
      </c>
      <c r="H20" s="2" t="str">
        <f>IF(A20=0,"",IF((VLOOKUP(A20,'[1]plan gier'!$X:$AF,7,FALSE))="","",VLOOKUP(A20,'[1]plan gier'!$X:$AF,9,FALSE)))</f>
        <v>21:8,21:14</v>
      </c>
      <c r="I20" s="2" t="str">
        <f>IF(A20=0,"",IF(VLOOKUP(A20,'[1]plan gier'!A:S,19,FALSE)="","",VLOOKUP(A20,'[1]plan gier'!A:S,19,FALSE)))</f>
        <v>godz.14:00</v>
      </c>
      <c r="J20" s="2">
        <f>L8</f>
        <v>0</v>
      </c>
      <c r="L20" s="236"/>
      <c r="N20" s="237">
        <f>UPPER(IF(M19="","",IF(ISTEXT(L20),L20,IF(AND(L6&gt;0,M19&gt;0),VLOOKUP(L6&amp;M19&amp;J18,'[1]grup-puch'!I:K,3,FALSE),""))))</f>
      </c>
      <c r="O20" s="238">
        <f>IF(N20&lt;&gt;"",CONCATENATE(VLOOKUP(N20,'[1]zawodnicy'!$A:$E,2,FALSE)," ",VLOOKUP(N20,'[1]zawodnicy'!$A:$E,3,FALSE)," - ",VLOOKUP(N20,'[1]zawodnicy'!$A:$E,4,FALSE)),"")</f>
      </c>
      <c r="P20" s="239"/>
      <c r="Q20" s="102">
        <v>62</v>
      </c>
      <c r="R20" s="243" t="str">
        <f>IF(G20="","",VLOOKUP(G20,'[1]zawodnicy'!$A:$D,3,FALSE))</f>
        <v>RÓG</v>
      </c>
      <c r="S20" s="103"/>
      <c r="T20" s="101"/>
    </row>
    <row r="21" spans="11:20" ht="15.75" thickTop="1">
      <c r="K21" s="115">
        <f>IF(L7&gt;8,13,"")</f>
        <v>13</v>
      </c>
      <c r="L21" s="240" t="s">
        <v>28</v>
      </c>
      <c r="M21" s="224">
        <f>IF(K21="","",MAX(M9:M20)+1)</f>
        <v>4</v>
      </c>
      <c r="N21" s="241" t="str">
        <f>UPPER(IF(M21="","",IF(ISTEXT(L21),L21,IF(AND(L6&gt;0,M21&gt;0),VLOOKUP(L6&amp;M21&amp;J22,'[1]grup-puch'!I:J,2,FALSE),""))))</f>
        <v>P0021</v>
      </c>
      <c r="O21" s="99" t="str">
        <f>IF(N21&lt;&gt;"",CONCATENATE(VLOOKUP(N21,'[1]zawodnicy'!$A:$E,2,FALSE)," ",VLOOKUP(N21,'[1]zawodnicy'!$A:$E,3,FALSE)," - ",VLOOKUP(N21,'[1]zawodnicy'!$A:$E,4,FALSE)),"")</f>
        <v>Mikołaj POLAŃSKI - Rzeszów</v>
      </c>
      <c r="P21" s="234"/>
      <c r="Q21" s="242" t="str">
        <f>IF(F22="","",VLOOKUP(F22,'[1]zawodnicy'!$A:$D,3,FALSE))</f>
        <v>MYCEK</v>
      </c>
      <c r="R21" s="105" t="str">
        <f>IF(H20="",I20,H20)</f>
        <v>21:8,21:14</v>
      </c>
      <c r="S21" s="103"/>
      <c r="T21" s="101"/>
    </row>
    <row r="22" spans="1:20" ht="15">
      <c r="A22" s="92">
        <f>P22</f>
        <v>59</v>
      </c>
      <c r="B22" s="2" t="str">
        <f>IF(N21="","",N21)</f>
        <v>P0021</v>
      </c>
      <c r="C22" s="2" t="str">
        <f>IF(N22="","",N22)</f>
        <v>W0013</v>
      </c>
      <c r="D22" s="2" t="str">
        <f>IF(N23="","",N23)</f>
        <v>M0027</v>
      </c>
      <c r="E22" s="2" t="str">
        <f>IF(N24="","",N24)</f>
        <v>R0013</v>
      </c>
      <c r="F22" s="2" t="str">
        <f>IF(A22=0,IF(AND(LEN(B22)&gt;0,LEN(D22)=0),VLOOKUP(B22,'[1]zawodnicy'!$A:$E,1,FALSE),IF(AND(LEN(D22)&gt;0,LEN(B22)=0),VLOOKUP(D22,'[1]zawodnicy'!$A:$E,1,FALSE),"")),IF((VLOOKUP(A22,'[1]plan gier'!$X:$AF,7,FALSE))="","",VLOOKUP(VLOOKUP(A22,'[1]plan gier'!$X:$AF,7,FALSE),'[1]zawodnicy'!$A:$E,1,FALSE)))</f>
        <v>M0027</v>
      </c>
      <c r="G22" s="2" t="str">
        <f>IF(A22=0,IF(AND(LEN(C22)&gt;1,LEN(E22)=0),VLOOKUP(C22,'[1]zawodnicy'!$A:$E,1,FALSE),IF(AND(LEN(E22)&gt;1,LEN(C22)=0),VLOOKUP(E22,'[1]zawodnicy'!$A:$E,1,FALSE),"")),IF((VLOOKUP(A22,'[1]plan gier'!$X:$AF,8,FALSE))="","",VLOOKUP(VLOOKUP(A22,'[1]plan gier'!$X:$AF,8,FALSE),'[1]zawodnicy'!$A:$E,1,FALSE)))</f>
        <v>R0013</v>
      </c>
      <c r="H22" s="2" t="str">
        <f>IF(A22=0,"",IF((VLOOKUP(A22,'[1]plan gier'!$X:$AF,7,FALSE))="","",VLOOKUP(A22,'[1]plan gier'!$X:$AF,9,FALSE)))</f>
        <v>21:6,21:10</v>
      </c>
      <c r="I22" s="2" t="str">
        <f>IF(A22=0,"",IF(VLOOKUP(A22,'[1]plan gier'!A:S,19,FALSE)="","",VLOOKUP(A22,'[1]plan gier'!A:S,19,FALSE)))</f>
        <v>godz.13:40</v>
      </c>
      <c r="J22" s="2">
        <f>L8</f>
        <v>0</v>
      </c>
      <c r="L22" s="118" t="s">
        <v>20</v>
      </c>
      <c r="N22" s="231" t="str">
        <f>UPPER(IF(M21="","",IF(ISTEXT(L22),L22,IF(AND(L6&gt;0,M21&gt;0),VLOOKUP(L6&amp;M21&amp;J22,'[1]grup-puch'!I:K,3,FALSE),""))))</f>
        <v>W0013</v>
      </c>
      <c r="O22" s="232" t="str">
        <f>IF(N22&lt;&gt;"",CONCATENATE(VLOOKUP(N22,'[1]zawodnicy'!$A:$E,2,FALSE)," ",VLOOKUP(N22,'[1]zawodnicy'!$A:$E,3,FALSE)," - ",VLOOKUP(N22,'[1]zawodnicy'!$A:$E,4,FALSE)),"")</f>
        <v>Olaf WARNECKI - Rzeszów</v>
      </c>
      <c r="P22" s="233">
        <v>59</v>
      </c>
      <c r="Q22" s="243" t="str">
        <f>IF(G22="","",VLOOKUP(G22,'[1]zawodnicy'!$A:$D,3,FALSE))</f>
        <v>RÓG</v>
      </c>
      <c r="R22" s="101"/>
      <c r="S22" s="103"/>
      <c r="T22" s="101"/>
    </row>
    <row r="23" spans="11:20" ht="15">
      <c r="K23" s="115">
        <f>IF(L7&gt;9,15,"")</f>
        <v>15</v>
      </c>
      <c r="L23" s="118" t="s">
        <v>47</v>
      </c>
      <c r="M23" s="224">
        <f>IF(K23="","",MAX(M9:M22)+1)</f>
        <v>5</v>
      </c>
      <c r="N23" s="228" t="str">
        <f>UPPER(IF(M23="","",IF(ISTEXT(L23),L23,IF(AND(L6&gt;0,M23&gt;0),VLOOKUP(L6&amp;M23&amp;J22,'[1]grup-puch'!I:J,2,FALSE),""))))</f>
        <v>M0027</v>
      </c>
      <c r="O23" s="229" t="str">
        <f>IF(N23&lt;&gt;"",CONCATENATE(VLOOKUP(N23,'[1]zawodnicy'!$A:$E,2,FALSE)," ",VLOOKUP(N23,'[1]zawodnicy'!$A:$E,3,FALSE)," - ",VLOOKUP(N23,'[1]zawodnicy'!$A:$E,4,FALSE)),"")</f>
        <v>Beata MYCEK - Nowa Dęba</v>
      </c>
      <c r="P23" s="234"/>
      <c r="Q23" s="97" t="str">
        <f>IF(H22="",I22,H22)</f>
        <v>21:6,21:10</v>
      </c>
      <c r="R23" s="101"/>
      <c r="S23" s="103"/>
      <c r="T23" s="105" t="str">
        <f>IF(F24="","",VLOOKUP(F24,'[1]zawodnicy'!$A:$D,3,FALSE))</f>
        <v>BARAN</v>
      </c>
    </row>
    <row r="24" spans="1:20" ht="15.75" thickBot="1">
      <c r="A24" s="110">
        <f>S24</f>
        <v>68</v>
      </c>
      <c r="B24" s="2" t="str">
        <f>F16</f>
        <v>B0001</v>
      </c>
      <c r="C24" s="2" t="str">
        <f>G16</f>
        <v>P0003</v>
      </c>
      <c r="D24" s="2" t="str">
        <f>F32</f>
        <v>J0001</v>
      </c>
      <c r="E24" s="2" t="str">
        <f>G32</f>
        <v>M0019</v>
      </c>
      <c r="F24" s="2" t="str">
        <f>IF(A24=0,IF(AND(LEN(B24)&gt;0,LEN(D24)=0),B24,IF(AND(LEN(D24)&gt;0,LEN(B24)=0),D24,"")),IF((VLOOKUP(A24,'[1]plan gier'!$X:$AF,7,FALSE))="","",VLOOKUP(VLOOKUP(A24,'[1]plan gier'!$X:$AF,7,FALSE),'[1]zawodnicy'!$A:$E,1,FALSE)))</f>
        <v>B0001</v>
      </c>
      <c r="G24" s="2" t="str">
        <f>IF(A24=0,IF(AND(LEN(C24)&gt;0,LEN(E24)=0),C24,IF(AND(LEN(E24)&gt;0,LEN(C24)=0),E24,"")),IF((VLOOKUP(A24,'[1]plan gier'!$X:$AF,8,FALSE))="","",VLOOKUP(VLOOKUP(A24,'[1]plan gier'!$X:$AF,8,FALSE),'[1]zawodnicy'!$A:$E,1,FALSE)))</f>
        <v>P0003</v>
      </c>
      <c r="H24" s="2" t="str">
        <f>IF(A24=0,"",IF((VLOOKUP(A24,'[1]plan gier'!$X:$AF,7,FALSE))="","",VLOOKUP(A24,'[1]plan gier'!$X:$AF,9,FALSE)))</f>
        <v>21:12,21:23,21:18</v>
      </c>
      <c r="I24" s="2" t="str">
        <f>IF(A24=0,"",IF(VLOOKUP(A24,'[1]plan gier'!A:S,19,FALSE)="","",VLOOKUP(A24,'[1]plan gier'!A:S,19,FALSE)))</f>
        <v>godz.14:20</v>
      </c>
      <c r="J24" s="2">
        <f>L8</f>
        <v>0</v>
      </c>
      <c r="L24" s="236" t="s">
        <v>49</v>
      </c>
      <c r="N24" s="237" t="str">
        <f>UPPER(IF(M23="","",IF(ISTEXT(L24),L24,IF(AND(L6&gt;0,M23&gt;0),VLOOKUP(L6&amp;M23&amp;J22,'[1]grup-puch'!I:K,3,FALSE),""))))</f>
        <v>R0013</v>
      </c>
      <c r="O24" s="238" t="str">
        <f>IF(N24&lt;&gt;"",CONCATENATE(VLOOKUP(N24,'[1]zawodnicy'!$A:$E,2,FALSE)," ",VLOOKUP(N24,'[1]zawodnicy'!$A:$E,3,FALSE)," - ",VLOOKUP(N24,'[1]zawodnicy'!$A:$E,4,FALSE)),"")</f>
        <v>Natalia RÓG - Nowa Dęba</v>
      </c>
      <c r="P24" s="239"/>
      <c r="Q24" s="105"/>
      <c r="R24" s="101"/>
      <c r="S24" s="102">
        <v>68</v>
      </c>
      <c r="T24" s="96" t="str">
        <f>IF(G24="","",VLOOKUP(G24,'[1]zawodnicy'!$A:$D,3,FALSE))</f>
        <v>PIENIĄŻEK</v>
      </c>
    </row>
    <row r="25" spans="11:20" ht="15.75" thickTop="1">
      <c r="K25" s="115">
        <f>IF(L7&gt;8,18,"")</f>
        <v>18</v>
      </c>
      <c r="L25" s="240" t="s">
        <v>75</v>
      </c>
      <c r="M25" s="224">
        <f>IF(K25="","",MAX(M9:M24)+1)</f>
        <v>6</v>
      </c>
      <c r="N25" s="241" t="str">
        <f>UPPER(IF(M25="","",IF(ISTEXT(L25),L25,IF(AND(L6&gt;0,M25&gt;0),VLOOKUP(L6&amp;M25&amp;J26,'[1]grup-puch'!I:J,2,FALSE),""))))</f>
        <v>J0001</v>
      </c>
      <c r="O25" s="99" t="str">
        <f>IF(N25&lt;&gt;"",CONCATENATE(VLOOKUP(N25,'[1]zawodnicy'!$A:$E,2,FALSE)," ",VLOOKUP(N25,'[1]zawodnicy'!$A:$E,3,FALSE)," - ",VLOOKUP(N25,'[1]zawodnicy'!$A:$E,4,FALSE)),"")</f>
        <v>Mateusz JĘDRZEJKO - Rzeszów</v>
      </c>
      <c r="P25" s="234"/>
      <c r="Q25" s="105" t="str">
        <f>IF(F26="","",VLOOKUP(F26,'[1]zawodnicy'!$A:$D,3,FALSE))</f>
        <v>JĘDRZEJKO</v>
      </c>
      <c r="R25" s="101"/>
      <c r="S25" s="103"/>
      <c r="T25" s="101" t="str">
        <f>IF(H24="",I24,H24)</f>
        <v>21:12,21:23,21:18</v>
      </c>
    </row>
    <row r="26" spans="1:20" ht="15">
      <c r="A26" s="92">
        <f>P26</f>
        <v>60</v>
      </c>
      <c r="B26" s="2" t="str">
        <f>IF(N25="","",N25)</f>
        <v>J0001</v>
      </c>
      <c r="C26" s="2" t="str">
        <f>IF(N26="","",N26)</f>
        <v>M0019</v>
      </c>
      <c r="D26" s="2" t="str">
        <f>IF(N27="","",N27)</f>
        <v>B0009</v>
      </c>
      <c r="E26" s="2" t="str">
        <f>IF(N28="","",N28)</f>
        <v>L0004</v>
      </c>
      <c r="F26" s="2" t="str">
        <f>IF(A26=0,IF(AND(LEN(B26)&gt;0,LEN(D26)=0),VLOOKUP(B26,'[1]zawodnicy'!$A:$E,1,FALSE),IF(AND(LEN(D26)&gt;0,LEN(B26)=0),VLOOKUP(D26,'[1]zawodnicy'!$A:$E,1,FALSE),"")),IF((VLOOKUP(A26,'[1]plan gier'!$X:$AF,7,FALSE))="","",VLOOKUP(VLOOKUP(A26,'[1]plan gier'!$X:$AF,7,FALSE),'[1]zawodnicy'!$A:$E,1,FALSE)))</f>
        <v>J0001</v>
      </c>
      <c r="G26" s="2" t="str">
        <f>IF(A26=0,IF(AND(LEN(C26)&gt;1,LEN(E26)=0),VLOOKUP(C26,'[1]zawodnicy'!$A:$E,1,FALSE),IF(AND(LEN(E26)&gt;1,LEN(C26)=0),VLOOKUP(E26,'[1]zawodnicy'!$A:$E,1,FALSE),"")),IF((VLOOKUP(A26,'[1]plan gier'!$X:$AF,8,FALSE))="","",VLOOKUP(VLOOKUP(A26,'[1]plan gier'!$X:$AF,8,FALSE),'[1]zawodnicy'!$A:$E,1,FALSE)))</f>
        <v>M0019</v>
      </c>
      <c r="H26" s="2" t="str">
        <f>IF(A26=0,"",IF((VLOOKUP(A26,'[1]plan gier'!$X:$AF,7,FALSE))="","",VLOOKUP(A26,'[1]plan gier'!$X:$AF,9,FALSE)))</f>
        <v>23:21,21:12</v>
      </c>
      <c r="I26" s="2" t="str">
        <f>IF(A26=0,"",IF(VLOOKUP(A26,'[1]plan gier'!A:S,19,FALSE)="","",VLOOKUP(A26,'[1]plan gier'!A:S,19,FALSE)))</f>
        <v>godz.13:40</v>
      </c>
      <c r="J26" s="2">
        <f>L8</f>
        <v>0</v>
      </c>
      <c r="L26" s="118" t="s">
        <v>68</v>
      </c>
      <c r="N26" s="231" t="str">
        <f>UPPER(IF(M25="","",IF(ISTEXT(L26),L26,IF(AND(L6&gt;0,M25&gt;0),VLOOKUP(L6&amp;M25&amp;J26,'[1]grup-puch'!I:K,3,FALSE),""))))</f>
        <v>M0019</v>
      </c>
      <c r="O26" s="232" t="str">
        <f>IF(N26&lt;&gt;"",CONCATENATE(VLOOKUP(N26,'[1]zawodnicy'!$A:$E,2,FALSE)," ",VLOOKUP(N26,'[1]zawodnicy'!$A:$E,3,FALSE)," - ",VLOOKUP(N26,'[1]zawodnicy'!$A:$E,4,FALSE)),"")</f>
        <v>Grzegorz MAC  - Rzeszów</v>
      </c>
      <c r="P26" s="233">
        <v>60</v>
      </c>
      <c r="Q26" s="96" t="str">
        <f>IF(G26="","",VLOOKUP(G26,'[1]zawodnicy'!$A:$D,3,FALSE))</f>
        <v>MAC </v>
      </c>
      <c r="R26" s="101"/>
      <c r="S26" s="103"/>
      <c r="T26" s="101"/>
    </row>
    <row r="27" spans="11:20" ht="15">
      <c r="K27" s="115">
        <f>IF(L7&gt;8,20,"")</f>
        <v>20</v>
      </c>
      <c r="L27" s="118" t="s">
        <v>16</v>
      </c>
      <c r="M27" s="224">
        <f>IF(K27="","",MAX(M9:M26)+1)</f>
        <v>7</v>
      </c>
      <c r="N27" s="228" t="str">
        <f>UPPER(IF(M27="","",IF(ISTEXT(L27),L27,IF(AND(L6&gt;0,M27&gt;0),VLOOKUP(L6&amp;M27&amp;J26,'[1]grup-puch'!I:J,2,FALSE),""))))</f>
        <v>B0009</v>
      </c>
      <c r="O27" s="229" t="str">
        <f>IF(N27&lt;&gt;"",CONCATENATE(VLOOKUP(N27,'[1]zawodnicy'!$A:$E,2,FALSE)," ",VLOOKUP(N27,'[1]zawodnicy'!$A:$E,3,FALSE)," - ",VLOOKUP(N27,'[1]zawodnicy'!$A:$E,4,FALSE)),"")</f>
        <v>Adam BUNIO - Nowa Dęba</v>
      </c>
      <c r="P27" s="234"/>
      <c r="Q27" s="235" t="str">
        <f>IF(H26="",I26,H26)</f>
        <v>23:21,21:12</v>
      </c>
      <c r="R27" s="105" t="str">
        <f>IF(F28="","",VLOOKUP(F28,'[1]zawodnicy'!$A:$D,3,FALSE))</f>
        <v>JĘDRZEJKO</v>
      </c>
      <c r="S27" s="103"/>
      <c r="T27" s="101"/>
    </row>
    <row r="28" spans="1:20" ht="15.75" thickBot="1">
      <c r="A28" s="98">
        <f>Q28</f>
        <v>63</v>
      </c>
      <c r="B28" s="2" t="str">
        <f>F26</f>
        <v>J0001</v>
      </c>
      <c r="C28" s="2" t="str">
        <f>G26</f>
        <v>M0019</v>
      </c>
      <c r="D28" s="2" t="str">
        <f>F30</f>
        <v>G0011</v>
      </c>
      <c r="E28" s="2" t="str">
        <f>G30</f>
        <v>J0005</v>
      </c>
      <c r="F28" s="2" t="str">
        <f>IF(A28=0,IF(AND(LEN(B28)&gt;0,LEN(D28)=0),B28,IF(AND(LEN(D28)&gt;0,LEN(B28)=0),D28,"")),IF((VLOOKUP(A28,'[1]plan gier'!$X:$AF,7,FALSE))="","",VLOOKUP(VLOOKUP(A28,'[1]plan gier'!$X:$AF,7,FALSE),'[1]zawodnicy'!$A:$E,1,FALSE)))</f>
        <v>J0001</v>
      </c>
      <c r="G28" s="2" t="str">
        <f>IF(A28=0,IF(AND(LEN(C28)&gt;0,LEN(E28)=0),C28,IF(AND(LEN(E28)&gt;0,LEN(C28)=0),E28,"")),IF((VLOOKUP(A28,'[1]plan gier'!$X:$AF,8,FALSE))="","",VLOOKUP(VLOOKUP(A28,'[1]plan gier'!$X:$AF,8,FALSE),'[1]zawodnicy'!$A:$E,1,FALSE)))</f>
        <v>M0019</v>
      </c>
      <c r="H28" s="2" t="str">
        <f>IF(A28=0,"",IF((VLOOKUP(A28,'[1]plan gier'!$X:$AF,7,FALSE))="","",VLOOKUP(A28,'[1]plan gier'!$X:$AF,9,FALSE)))</f>
        <v>21:16,26:22</v>
      </c>
      <c r="I28" s="2" t="str">
        <f>IF(A28=0,"",IF(VLOOKUP(A28,'[1]plan gier'!A:S,19,FALSE)="","",VLOOKUP(A28,'[1]plan gier'!A:S,19,FALSE)))</f>
        <v>godz.14:00</v>
      </c>
      <c r="J28" s="2">
        <f>L8</f>
        <v>0</v>
      </c>
      <c r="L28" s="236" t="s">
        <v>31</v>
      </c>
      <c r="N28" s="237" t="str">
        <f>UPPER(IF(M27="","",IF(ISTEXT(L28),L28,IF(AND(L6&gt;0,M27&gt;0),VLOOKUP(L6&amp;M27&amp;J26,'[1]grup-puch'!I:K,3,FALSE),""))))</f>
        <v>L0004</v>
      </c>
      <c r="O28" s="238" t="str">
        <f>IF(N28&lt;&gt;"",CONCATENATE(VLOOKUP(N28,'[1]zawodnicy'!$A:$E,2,FALSE)," ",VLOOKUP(N28,'[1]zawodnicy'!$A:$E,3,FALSE)," - ",VLOOKUP(N28,'[1]zawodnicy'!$A:$E,4,FALSE)),"")</f>
        <v>Rafał LEJKO - Nowa Dęba</v>
      </c>
      <c r="P28" s="239"/>
      <c r="Q28" s="102">
        <v>63</v>
      </c>
      <c r="R28" s="96" t="str">
        <f>IF(G28="","",VLOOKUP(G28,'[1]zawodnicy'!$A:$D,3,FALSE))</f>
        <v>MAC </v>
      </c>
      <c r="S28" s="103"/>
      <c r="T28" s="101"/>
    </row>
    <row r="29" spans="11:20" ht="15.75" thickTop="1">
      <c r="K29" s="115">
        <f>IF(L7&gt;12,22,"")</f>
      </c>
      <c r="L29" s="240"/>
      <c r="M29" s="224">
        <f>IF(K29="","",MAX(M9:M28)+1)</f>
      </c>
      <c r="N29" s="241">
        <f>UPPER(IF(M29="","",IF(ISTEXT(L29),L29,IF(AND(L6&gt;0,M29&gt;0),VLOOKUP(L6&amp;M29&amp;J30,'[1]grup-puch'!I:J,2,FALSE),""))))</f>
      </c>
      <c r="O29" s="99">
        <f>IF(N29&lt;&gt;"",CONCATENATE(VLOOKUP(N29,'[1]zawodnicy'!$A:$E,2,FALSE)," ",VLOOKUP(N29,'[1]zawodnicy'!$A:$E,3,FALSE)," - ",VLOOKUP(N29,'[1]zawodnicy'!$A:$E,4,FALSE)),"")</f>
      </c>
      <c r="P29" s="234"/>
      <c r="Q29" s="242" t="str">
        <f>IF(F30="","",VLOOKUP(F30,'[1]zawodnicy'!$A:$D,3,FALSE))</f>
        <v>GERCZAK</v>
      </c>
      <c r="R29" s="103" t="str">
        <f>IF(H28="",I28,H28)</f>
        <v>21:16,26:22</v>
      </c>
      <c r="S29" s="103"/>
      <c r="T29" s="101"/>
    </row>
    <row r="30" spans="1:20" ht="15">
      <c r="A30" s="92">
        <f>P30</f>
        <v>0</v>
      </c>
      <c r="B30" s="2">
        <f>IF(N29="","",N29)</f>
      </c>
      <c r="C30" s="2">
        <f>IF(N30="","",N30)</f>
      </c>
      <c r="D30" s="2" t="str">
        <f>IF(N31="","",N31)</f>
        <v>G0011</v>
      </c>
      <c r="E30" s="2" t="str">
        <f>IF(N32="","",N32)</f>
        <v>J0005</v>
      </c>
      <c r="F30" s="2" t="str">
        <f>IF(A30=0,IF(AND(LEN(B30)&gt;0,LEN(D30)=0),VLOOKUP(B30,'[1]zawodnicy'!$A:$E,1,FALSE),IF(AND(LEN(D30)&gt;0,LEN(B30)=0),VLOOKUP(D30,'[1]zawodnicy'!$A:$E,1,FALSE),"")),IF((VLOOKUP(A30,'[1]plan gier'!$X:$AF,7,FALSE))="","",VLOOKUP(VLOOKUP(A30,'[1]plan gier'!$X:$AF,7,FALSE),'[1]zawodnicy'!$A:$E,1,FALSE)))</f>
        <v>G0011</v>
      </c>
      <c r="G30" s="2" t="str">
        <f>IF(A30=0,IF(AND(LEN(C30)&gt;1,LEN(E30)=0),VLOOKUP(C30,'[1]zawodnicy'!$A:$E,1,FALSE),IF(AND(LEN(E30)&gt;1,LEN(C30)=0),VLOOKUP(E30,'[1]zawodnicy'!$A:$E,1,FALSE),"")),IF((VLOOKUP(A30,'[1]plan gier'!$X:$AF,8,FALSE))="","",VLOOKUP(VLOOKUP(A30,'[1]plan gier'!$X:$AF,8,FALSE),'[1]zawodnicy'!$A:$E,1,FALSE)))</f>
        <v>J0005</v>
      </c>
      <c r="H30" s="2">
        <f>IF(A30=0,"",IF((VLOOKUP(A30,'[1]plan gier'!$X:$AF,7,FALSE))="","",VLOOKUP(A30,'[1]plan gier'!$X:$AF,9,FALSE)))</f>
      </c>
      <c r="I30" s="2">
        <f>IF(A30=0,"",IF(VLOOKUP(A30,'[1]plan gier'!A:S,19,FALSE)="","",VLOOKUP(A30,'[1]plan gier'!A:S,19,FALSE)))</f>
      </c>
      <c r="J30" s="2">
        <f>L8</f>
        <v>0</v>
      </c>
      <c r="L30" s="118"/>
      <c r="N30" s="231">
        <f>UPPER(IF(M29="","",IF(ISTEXT(L30),L30,IF(AND(L6&gt;0,M29&gt;0),VLOOKUP(L6&amp;M29&amp;J30,'[1]grup-puch'!I:K,3,FALSE),""))))</f>
      </c>
      <c r="O30" s="232">
        <f>IF(N30&lt;&gt;"",CONCATENATE(VLOOKUP(N30,'[1]zawodnicy'!$A:$E,2,FALSE)," ",VLOOKUP(N30,'[1]zawodnicy'!$A:$E,3,FALSE)," - ",VLOOKUP(N30,'[1]zawodnicy'!$A:$E,4,FALSE)),"")</f>
      </c>
      <c r="P30" s="233"/>
      <c r="Q30" s="243" t="str">
        <f>IF(G30="","",VLOOKUP(G30,'[1]zawodnicy'!$A:$D,3,FALSE))</f>
        <v>JENDRYASSEK</v>
      </c>
      <c r="R30" s="103"/>
      <c r="S30" s="103"/>
      <c r="T30" s="101"/>
    </row>
    <row r="31" spans="11:20" ht="15">
      <c r="K31" s="115">
        <f>IF(L7&gt;8,24,"")</f>
        <v>24</v>
      </c>
      <c r="L31" s="240" t="s">
        <v>74</v>
      </c>
      <c r="M31" s="224">
        <f>IF(K31="","",MAX(M9:M30)+1)</f>
        <v>8</v>
      </c>
      <c r="N31" s="228" t="str">
        <f>UPPER(IF(M31="","",IF(ISTEXT(L31),L31,IF(AND(L6&gt;0,M31&gt;0),VLOOKUP(L6&amp;M31&amp;J30,'[1]grup-puch'!I:J,2,FALSE),""))))</f>
        <v>G0011</v>
      </c>
      <c r="O31" s="229" t="str">
        <f>IF(N31&lt;&gt;"",CONCATENATE(VLOOKUP(N31,'[1]zawodnicy'!$A:$E,2,FALSE)," ",VLOOKUP(N31,'[1]zawodnicy'!$A:$E,3,FALSE)," - ",VLOOKUP(N31,'[1]zawodnicy'!$A:$E,4,FALSE)),"")</f>
        <v>Jakub GERCZAK - Sanok</v>
      </c>
      <c r="P31" s="234"/>
      <c r="Q31" s="97">
        <f>IF(H30="",I30,H30)</f>
      </c>
      <c r="R31" s="103"/>
      <c r="S31" s="242" t="str">
        <f>IF(F32="","",VLOOKUP(F32,'[1]zawodnicy'!$A:$D,3,FALSE))</f>
        <v>JĘDRZEJKO</v>
      </c>
      <c r="T31" s="101"/>
    </row>
    <row r="32" spans="1:20" ht="15.75" thickBot="1">
      <c r="A32" s="244">
        <f>R32</f>
        <v>66</v>
      </c>
      <c r="B32" s="2" t="str">
        <f>F28</f>
        <v>J0001</v>
      </c>
      <c r="C32" s="2" t="str">
        <f>G28</f>
        <v>M0019</v>
      </c>
      <c r="D32" s="2" t="str">
        <f>F36</f>
        <v>K0012</v>
      </c>
      <c r="E32" s="2" t="str">
        <f>G36</f>
        <v>D0008</v>
      </c>
      <c r="F32" s="2" t="str">
        <f>IF(A32=0,IF(AND(LEN(B32)&gt;0,LEN(D32)=0),B32,IF(AND(LEN(D32)&gt;0,LEN(B32)=0),D32,"")),IF((VLOOKUP(A32,'[1]plan gier'!$X:$AF,7,FALSE))="","",VLOOKUP(VLOOKUP(A32,'[1]plan gier'!$X:$AF,7,FALSE),'[1]zawodnicy'!$A:$E,1,FALSE)))</f>
        <v>J0001</v>
      </c>
      <c r="G32" s="2" t="str">
        <f>IF(A32=0,IF(AND(LEN(C32)&gt;0,LEN(E32)=0),C32,IF(AND(LEN(E32)&gt;0,LEN(C32)=0),E32,"")),IF((VLOOKUP(A32,'[1]plan gier'!$X:$AF,8,FALSE))="","",VLOOKUP(VLOOKUP(A32,'[1]plan gier'!$X:$AF,8,FALSE),'[1]zawodnicy'!$A:$E,1,FALSE)))</f>
        <v>M0019</v>
      </c>
      <c r="H32" s="2" t="str">
        <f>IF(A32=0,"",IF((VLOOKUP(A32,'[1]plan gier'!$X:$AF,7,FALSE))="","",VLOOKUP(A32,'[1]plan gier'!$X:$AF,9,FALSE)))</f>
        <v>21:14,21:14</v>
      </c>
      <c r="I32" s="2" t="str">
        <f>IF(A32=0,"",IF(VLOOKUP(A32,'[1]plan gier'!A:S,19,FALSE)="","",VLOOKUP(A32,'[1]plan gier'!A:S,19,FALSE)))</f>
        <v>godz.14:20</v>
      </c>
      <c r="J32" s="2">
        <f>L8</f>
        <v>0</v>
      </c>
      <c r="L32" s="118" t="s">
        <v>71</v>
      </c>
      <c r="N32" s="237" t="str">
        <f>UPPER(IF(M31="","",IF(ISTEXT(L32),L32,IF(AND(L6&gt;0,M31&gt;0),VLOOKUP(L6&amp;M31&amp;J30,'[1]grup-puch'!I:K,3,FALSE),""))))</f>
        <v>J0005</v>
      </c>
      <c r="O32" s="238" t="str">
        <f>IF(N32&lt;&gt;"",CONCATENATE(VLOOKUP(N32,'[1]zawodnicy'!$A:$E,2,FALSE)," ",VLOOKUP(N32,'[1]zawodnicy'!$A:$E,3,FALSE)," - ",VLOOKUP(N32,'[1]zawodnicy'!$A:$E,4,FALSE)),"")</f>
        <v>Tomasz JENDRYASSEK - Rzeszów</v>
      </c>
      <c r="P32" s="239"/>
      <c r="Q32" s="105"/>
      <c r="R32" s="102">
        <v>66</v>
      </c>
      <c r="S32" s="243" t="str">
        <f>IF(G32="","",VLOOKUP(G32,'[1]zawodnicy'!$A:$D,3,FALSE))</f>
        <v>MAC </v>
      </c>
      <c r="T32" s="101"/>
    </row>
    <row r="33" spans="11:20" ht="15.75" thickTop="1">
      <c r="K33" s="115">
        <f>IF(L7&gt;10,26,"")</f>
      </c>
      <c r="L33" s="240"/>
      <c r="M33" s="224">
        <f>IF(K33="","",MAX(M9:M32)+1)</f>
      </c>
      <c r="N33" s="241">
        <f>UPPER(IF(M33="","",IF(ISTEXT(L33),L33,IF(AND(L6&gt;0,M33&gt;0),VLOOKUP(L6&amp;M33&amp;J34,'[1]grup-puch'!I:J,2,FALSE),""))))</f>
      </c>
      <c r="O33" s="99">
        <f>IF(N33&lt;&gt;"",CONCATENATE(VLOOKUP(N33,'[1]zawodnicy'!$A:$E,2,FALSE)," ",VLOOKUP(N33,'[1]zawodnicy'!$A:$E,3,FALSE)," - ",VLOOKUP(N33,'[1]zawodnicy'!$A:$E,4,FALSE)),"")</f>
      </c>
      <c r="P33" s="234"/>
      <c r="Q33" s="105" t="str">
        <f>IF(F34="","",VLOOKUP(F34,'[1]zawodnicy'!$A:$D,3,FALSE))</f>
        <v>GRĄDZKA</v>
      </c>
      <c r="R33" s="103"/>
      <c r="S33" s="105" t="str">
        <f>IF(H32="",I32,H32)</f>
        <v>21:14,21:14</v>
      </c>
      <c r="T33" s="101"/>
    </row>
    <row r="34" spans="1:20" ht="15">
      <c r="A34" s="92">
        <f>P34</f>
        <v>0</v>
      </c>
      <c r="B34" s="2">
        <f>IF(N33="","",N33)</f>
      </c>
      <c r="C34" s="2">
        <f>IF(N34="","",N34)</f>
      </c>
      <c r="D34" s="2" t="str">
        <f>IF(N35="","",N35)</f>
        <v>G0016</v>
      </c>
      <c r="E34" s="2" t="str">
        <f>IF(N36="","",N36)</f>
        <v>R0007</v>
      </c>
      <c r="F34" s="2" t="str">
        <f>IF(A34=0,IF(AND(LEN(B34)&gt;0,LEN(D34)=0),VLOOKUP(B34,'[1]zawodnicy'!$A:$E,1,FALSE),IF(AND(LEN(D34)&gt;0,LEN(B34)=0),VLOOKUP(D34,'[1]zawodnicy'!$A:$E,1,FALSE),"")),IF((VLOOKUP(A34,'[1]plan gier'!$X:$AF,7,FALSE))="","",VLOOKUP(VLOOKUP(A34,'[1]plan gier'!$X:$AF,7,FALSE),'[1]zawodnicy'!$A:$E,1,FALSE)))</f>
        <v>G0016</v>
      </c>
      <c r="G34" s="2" t="str">
        <f>IF(A34=0,IF(AND(LEN(C34)&gt;1,LEN(E34)=0),VLOOKUP(C34,'[1]zawodnicy'!$A:$E,1,FALSE),IF(AND(LEN(E34)&gt;1,LEN(C34)=0),VLOOKUP(E34,'[1]zawodnicy'!$A:$E,1,FALSE),"")),IF((VLOOKUP(A34,'[1]plan gier'!$X:$AF,8,FALSE))="","",VLOOKUP(VLOOKUP(A34,'[1]plan gier'!$X:$AF,8,FALSE),'[1]zawodnicy'!$A:$E,1,FALSE)))</f>
        <v>R0007</v>
      </c>
      <c r="H34" s="2">
        <f>IF(A34=0,"",IF((VLOOKUP(A34,'[1]plan gier'!$X:$AF,7,FALSE))="","",VLOOKUP(A34,'[1]plan gier'!$X:$AF,9,FALSE)))</f>
      </c>
      <c r="I34" s="2">
        <f>IF(A34=0,"",IF(VLOOKUP(A34,'[1]plan gier'!A:S,19,FALSE)="","",VLOOKUP(A34,'[1]plan gier'!A:S,19,FALSE)))</f>
      </c>
      <c r="J34" s="2">
        <f>L8</f>
        <v>0</v>
      </c>
      <c r="L34" s="118"/>
      <c r="N34" s="231">
        <f>UPPER(IF(M33="","",IF(ISTEXT(L34),L34,IF(AND(L6&gt;0,M33&gt;0),VLOOKUP(L6&amp;M33&amp;J34,'[1]grup-puch'!I:K,3,FALSE),""))))</f>
      </c>
      <c r="O34" s="232">
        <f>IF(N34&lt;&gt;"",CONCATENATE(VLOOKUP(N34,'[1]zawodnicy'!$A:$E,2,FALSE)," ",VLOOKUP(N34,'[1]zawodnicy'!$A:$E,3,FALSE)," - ",VLOOKUP(N34,'[1]zawodnicy'!$A:$E,4,FALSE)),"")</f>
      </c>
      <c r="P34" s="233"/>
      <c r="Q34" s="96" t="str">
        <f>IF(G34="","",VLOOKUP(G34,'[1]zawodnicy'!$A:$D,3,FALSE))</f>
        <v>RYBIŃSKA</v>
      </c>
      <c r="R34" s="103"/>
      <c r="S34" s="101"/>
      <c r="T34" s="101"/>
    </row>
    <row r="35" spans="11:20" ht="15">
      <c r="K35" s="115">
        <f>IF(L7&gt;8,28,"")</f>
        <v>28</v>
      </c>
      <c r="L35" s="118" t="s">
        <v>50</v>
      </c>
      <c r="M35" s="224">
        <f>IF(K35="","",MAX(M9:M34)+1)</f>
        <v>9</v>
      </c>
      <c r="N35" s="228" t="str">
        <f>UPPER(IF(M35="","",IF(ISTEXT(L35),L35,IF(AND(L6&gt;0,M35&gt;0),VLOOKUP(L6&amp;M35&amp;J34,'[1]grup-puch'!I:J,2,FALSE),""))))</f>
        <v>G0016</v>
      </c>
      <c r="O35" s="229" t="str">
        <f>IF(N35&lt;&gt;"",CONCATENATE(VLOOKUP(N35,'[1]zawodnicy'!$A:$E,2,FALSE)," ",VLOOKUP(N35,'[1]zawodnicy'!$A:$E,3,FALSE)," - ",VLOOKUP(N35,'[1]zawodnicy'!$A:$E,4,FALSE)),"")</f>
        <v>Wiktoria GRĄDZKA - Mielec</v>
      </c>
      <c r="P35" s="234"/>
      <c r="Q35" s="235">
        <f>IF(H34="",I34,H34)</f>
      </c>
      <c r="R35" s="242" t="str">
        <f>IF(F36="","",VLOOKUP(F36,'[1]zawodnicy'!$A:$D,3,FALSE))</f>
        <v>KOTERBA</v>
      </c>
      <c r="S35" s="101"/>
      <c r="T35" s="101"/>
    </row>
    <row r="36" spans="1:20" ht="15.75" thickBot="1">
      <c r="A36" s="98">
        <f>Q36</f>
        <v>64</v>
      </c>
      <c r="B36" s="2" t="str">
        <f>F34</f>
        <v>G0016</v>
      </c>
      <c r="C36" s="2" t="str">
        <f>G34</f>
        <v>R0007</v>
      </c>
      <c r="D36" s="2" t="str">
        <f>F38</f>
        <v>K0012</v>
      </c>
      <c r="E36" s="2" t="str">
        <f>G38</f>
        <v>D0008</v>
      </c>
      <c r="F36" s="2" t="str">
        <f>IF(A36=0,IF(AND(LEN(B36)&gt;0,LEN(D36)=0),B36,IF(AND(LEN(D36)&gt;0,LEN(B36)=0),D36,"")),IF((VLOOKUP(A36,'[1]plan gier'!$X:$AF,7,FALSE))="","",VLOOKUP(VLOOKUP(A36,'[1]plan gier'!$X:$AF,7,FALSE),'[1]zawodnicy'!$A:$E,1,FALSE)))</f>
        <v>K0012</v>
      </c>
      <c r="G36" s="2" t="str">
        <f>IF(A36=0,IF(AND(LEN(C36)&gt;0,LEN(E36)=0),C36,IF(AND(LEN(E36)&gt;0,LEN(C36)=0),E36,"")),IF((VLOOKUP(A36,'[1]plan gier'!$X:$AF,8,FALSE))="","",VLOOKUP(VLOOKUP(A36,'[1]plan gier'!$X:$AF,8,FALSE),'[1]zawodnicy'!$A:$E,1,FALSE)))</f>
        <v>D0008</v>
      </c>
      <c r="H36" s="2" t="str">
        <f>IF(A36=0,"",IF((VLOOKUP(A36,'[1]plan gier'!$X:$AF,7,FALSE))="","",VLOOKUP(A36,'[1]plan gier'!$X:$AF,9,FALSE)))</f>
        <v>21:1,21:14</v>
      </c>
      <c r="I36" s="2" t="str">
        <f>IF(A36=0,"",IF(VLOOKUP(A36,'[1]plan gier'!A:S,19,FALSE)="","",VLOOKUP(A36,'[1]plan gier'!A:S,19,FALSE)))</f>
        <v>godz.14:00</v>
      </c>
      <c r="J36" s="2">
        <f>L8</f>
        <v>0</v>
      </c>
      <c r="L36" s="236" t="s">
        <v>79</v>
      </c>
      <c r="N36" s="237" t="str">
        <f>UPPER(IF(M35="","",IF(ISTEXT(L36),L36,IF(AND(L6&gt;0,M35&gt;0),VLOOKUP(L6&amp;M35&amp;J34,'[1]grup-puch'!I:K,3,FALSE),""))))</f>
        <v>R0007</v>
      </c>
      <c r="O36" s="238" t="str">
        <f>IF(N36&lt;&gt;"",CONCATENATE(VLOOKUP(N36,'[1]zawodnicy'!$A:$E,2,FALSE)," ",VLOOKUP(N36,'[1]zawodnicy'!$A:$E,3,FALSE)," - ",VLOOKUP(N36,'[1]zawodnicy'!$A:$E,4,FALSE)),"")</f>
        <v>Daria RYBIŃSKA - Mielec</v>
      </c>
      <c r="P36" s="239"/>
      <c r="Q36" s="102">
        <v>64</v>
      </c>
      <c r="R36" s="243" t="str">
        <f>IF(G36="","",VLOOKUP(G36,'[1]zawodnicy'!$A:$D,3,FALSE))</f>
        <v>DOMAŃSKA</v>
      </c>
      <c r="S36" s="101"/>
      <c r="T36" s="101"/>
    </row>
    <row r="37" spans="11:20" ht="15.75" thickTop="1">
      <c r="K37" s="115">
        <f>IF(L7&gt;14,30,"")</f>
      </c>
      <c r="L37" s="240"/>
      <c r="M37" s="224">
        <f>IF(K37="","",MAX(M9:M36)+1)</f>
      </c>
      <c r="N37" s="241">
        <f>UPPER(IF(M37="","",IF(ISTEXT(L37),L37,IF(AND(L6&gt;0,M37&gt;0),VLOOKUP(L6&amp;M37&amp;J38,'[1]grup-puch'!I:J,2,FALSE),""))))</f>
      </c>
      <c r="O37" s="99">
        <f>IF(N37&lt;&gt;"",CONCATENATE(VLOOKUP(N37,'[1]zawodnicy'!$A:$E,2,FALSE)," ",VLOOKUP(N37,'[1]zawodnicy'!$A:$E,3,FALSE)," - ",VLOOKUP(N37,'[1]zawodnicy'!$A:$E,4,FALSE)),"")</f>
      </c>
      <c r="P37" s="234"/>
      <c r="Q37" s="242" t="str">
        <f>IF(F38="","",VLOOKUP(F38,'[1]zawodnicy'!$A:$D,3,FALSE))</f>
        <v>KOTERBA</v>
      </c>
      <c r="R37" s="105" t="str">
        <f>IF(H36="",I36,H36)</f>
        <v>21:1,21:14</v>
      </c>
      <c r="S37" s="101"/>
      <c r="T37" s="99"/>
    </row>
    <row r="38" spans="1:20" ht="15">
      <c r="A38" s="92">
        <f>P38</f>
        <v>0</v>
      </c>
      <c r="B38" s="2">
        <f>IF(N37="","",N37)</f>
      </c>
      <c r="C38" s="2">
        <f>IF(N38="","",N38)</f>
      </c>
      <c r="D38" s="2" t="str">
        <f>IF(N39="","",N39)</f>
        <v>K0012</v>
      </c>
      <c r="E38" s="2" t="str">
        <f>IF(N40="","",N40)</f>
        <v>D0008</v>
      </c>
      <c r="F38" s="2" t="str">
        <f>IF(A38=0,IF(AND(LEN(B38)&gt;0,LEN(D38)=0),VLOOKUP(B38,'[1]zawodnicy'!$A:$E,1,FALSE),IF(AND(LEN(D38)&gt;0,LEN(B38)=0),VLOOKUP(D38,'[1]zawodnicy'!$A:$E,1,FALSE),"")),IF((VLOOKUP(A38,'[1]plan gier'!$X:$AF,7,FALSE))="","",VLOOKUP(VLOOKUP(A38,'[1]plan gier'!$X:$AF,7,FALSE),'[1]zawodnicy'!$A:$E,1,FALSE)))</f>
        <v>K0012</v>
      </c>
      <c r="G38" s="2" t="str">
        <f>IF(A38=0,IF(AND(LEN(C38)&gt;1,LEN(E38)=0),VLOOKUP(C38,'[1]zawodnicy'!$A:$E,1,FALSE),IF(AND(LEN(E38)&gt;1,LEN(C38)=0),VLOOKUP(E38,'[1]zawodnicy'!$A:$E,1,FALSE),"")),IF((VLOOKUP(A38,'[1]plan gier'!$X:$AF,8,FALSE))="","",VLOOKUP(VLOOKUP(A38,'[1]plan gier'!$X:$AF,8,FALSE),'[1]zawodnicy'!$A:$E,1,FALSE)))</f>
        <v>D0008</v>
      </c>
      <c r="H38" s="2">
        <f>IF(A38=0,"",IF((VLOOKUP(A38,'[1]plan gier'!$X:$AF,7,FALSE))="","",VLOOKUP(A38,'[1]plan gier'!$X:$AF,9,FALSE)))</f>
      </c>
      <c r="I38" s="2">
        <f>IF(A38=0,"",IF(VLOOKUP(A38,'[1]plan gier'!A:S,19,FALSE)="","",VLOOKUP(A38,'[1]plan gier'!A:S,19,FALSE)))</f>
      </c>
      <c r="J38" s="2">
        <f>L8</f>
        <v>0</v>
      </c>
      <c r="L38" s="118"/>
      <c r="N38" s="231">
        <f>UPPER(IF(M37="","",IF(ISTEXT(L38),L38,IF(AND(L6&gt;0,M37&gt;0),VLOOKUP(L6&amp;M37&amp;J38,'[1]grup-puch'!I:K,3,FALSE),""))))</f>
      </c>
      <c r="O38" s="232">
        <f>IF(N38&lt;&gt;"",CONCATENATE(VLOOKUP(N38,'[1]zawodnicy'!$A:$E,2,FALSE)," ",VLOOKUP(N38,'[1]zawodnicy'!$A:$E,3,FALSE)," - ",VLOOKUP(N38,'[1]zawodnicy'!$A:$E,4,FALSE)),"")</f>
      </c>
      <c r="P38" s="233"/>
      <c r="Q38" s="243" t="str">
        <f>IF(G38="","",VLOOKUP(G38,'[1]zawodnicy'!$A:$D,3,FALSE))</f>
        <v>DOMAŃSKA</v>
      </c>
      <c r="R38" s="101"/>
      <c r="S38" s="101"/>
      <c r="T38" s="101"/>
    </row>
    <row r="39" spans="11:21" ht="15">
      <c r="K39" s="115">
        <f>IF(L7&gt;8,32,"")</f>
        <v>32</v>
      </c>
      <c r="L39" s="118" t="s">
        <v>19</v>
      </c>
      <c r="M39" s="224">
        <f>IF(K39="","",MAX(M9:M38)+1)</f>
        <v>10</v>
      </c>
      <c r="N39" s="228" t="str">
        <f>UPPER(IF(M39="","",IF(ISTEXT(L39),L39,IF(AND(L6&gt;0,M39&gt;0),VLOOKUP(L6&amp;M39&amp;J38,'[1]grup-puch'!I:J,2,FALSE),""))))</f>
        <v>K0012</v>
      </c>
      <c r="O39" s="229" t="str">
        <f>IF(N39&lt;&gt;"",CONCATENATE(VLOOKUP(N39,'[1]zawodnicy'!$A:$E,2,FALSE)," ",VLOOKUP(N39,'[1]zawodnicy'!$A:$E,3,FALSE)," - ",VLOOKUP(N39,'[1]zawodnicy'!$A:$E,4,FALSE)),"")</f>
        <v>Piotr KOTERBA - Rzeszów</v>
      </c>
      <c r="P39" s="234"/>
      <c r="Q39" s="97">
        <f>IF(H38="",I38,H38)</f>
      </c>
      <c r="R39" s="101"/>
      <c r="S39" s="2"/>
      <c r="T39" s="101"/>
      <c r="U39" s="101"/>
    </row>
    <row r="40" spans="1:21" ht="15">
      <c r="A40" s="245"/>
      <c r="B40" s="9"/>
      <c r="C40" s="9"/>
      <c r="D40" s="9"/>
      <c r="E40" s="9"/>
      <c r="F40" s="9"/>
      <c r="G40" s="9"/>
      <c r="H40" s="9"/>
      <c r="I40" s="9"/>
      <c r="J40" s="9"/>
      <c r="L40" s="118" t="s">
        <v>51</v>
      </c>
      <c r="N40" s="231" t="str">
        <f>UPPER(IF(M39="","",IF(ISTEXT(L40),L40,IF(AND(L6&gt;0,M39&gt;0),VLOOKUP(L6&amp;M39&amp;J38,'[1]grup-puch'!I:K,3,FALSE),""))))</f>
        <v>D0008</v>
      </c>
      <c r="O40" s="232" t="str">
        <f>IF(N40&lt;&gt;"",CONCATENATE(VLOOKUP(N40,'[1]zawodnicy'!$A:$E,2,FALSE)," ",VLOOKUP(N40,'[1]zawodnicy'!$A:$E,3,FALSE)," - ",VLOOKUP(N40,'[1]zawodnicy'!$A:$E,4,FALSE)),"")</f>
        <v>Patrycja DOMAŃSKA - Rzeszów</v>
      </c>
      <c r="P40" s="246"/>
      <c r="Q40" s="105"/>
      <c r="R40" s="101"/>
      <c r="S40" s="2"/>
      <c r="T40" s="111"/>
      <c r="U40" s="101"/>
    </row>
    <row r="41" ht="11.25" customHeight="1"/>
    <row r="42" ht="11.25" customHeight="1"/>
    <row r="43" ht="11.25" customHeight="1"/>
    <row r="44" spans="12:20" ht="15">
      <c r="L44" s="247">
        <f>J47</f>
        <v>0</v>
      </c>
      <c r="N44" s="348" t="s">
        <v>42</v>
      </c>
      <c r="O44" s="348"/>
      <c r="P44" s="348"/>
      <c r="Q44" s="91" t="s">
        <v>43</v>
      </c>
      <c r="R44" s="91"/>
      <c r="S44" s="91"/>
      <c r="T44" s="91"/>
    </row>
    <row r="45" spans="10:20" ht="15">
      <c r="J45" s="248"/>
      <c r="L45" s="247" t="s">
        <v>44</v>
      </c>
      <c r="M45" s="8"/>
      <c r="Q45" s="91"/>
      <c r="R45" s="91"/>
      <c r="S45" s="91"/>
      <c r="T45" s="91"/>
    </row>
    <row r="46" spans="12:20" ht="15">
      <c r="L46" s="118">
        <v>65</v>
      </c>
      <c r="N46" s="228" t="str">
        <f>IF(L46="","",IF(LEN(VLOOKUP(L46,A:J,6,FALSE))=0,"",IF(VLOOKUP(L46,A:J,6,FALSE)=VLOOKUP(L46,A:M,2,FALSE),VLOOKUP(L46,A:M,4,FALSE),VLOOKUP(L46,A:M,2,FALSE))))</f>
        <v>M0027</v>
      </c>
      <c r="O46" s="229" t="str">
        <f>IF(N46&lt;&gt;"",CONCATENATE(VLOOKUP(N46,'[1]zawodnicy'!$A:$E,2,FALSE)," ",VLOOKUP(N46,'[1]zawodnicy'!$A:$E,3,FALSE)," - ",VLOOKUP(N46,'[1]zawodnicy'!$A:$E,4,FALSE)),"")</f>
        <v>Beata MYCEK - Nowa Dęba</v>
      </c>
      <c r="P46" s="230"/>
      <c r="Q46" s="105" t="str">
        <f>IF(F47="","",VLOOKUP(F47,'[1]zawodnicy'!$A:$D,3,FALSE))</f>
        <v>MYCEK</v>
      </c>
      <c r="R46" s="101"/>
      <c r="S46" s="101"/>
      <c r="T46" s="101"/>
    </row>
    <row r="47" spans="1:20" ht="15">
      <c r="A47" s="92">
        <f>P47</f>
        <v>67</v>
      </c>
      <c r="B47" s="2" t="str">
        <f>IF(N46="","",N46)</f>
        <v>M0027</v>
      </c>
      <c r="C47" s="2" t="str">
        <f>IF(N47="","",N47)</f>
        <v>R0013</v>
      </c>
      <c r="D47" s="2" t="str">
        <f>IF(N48="","",N48)</f>
        <v>K0012</v>
      </c>
      <c r="E47" s="2" t="str">
        <f>IF(N49="","",N49)</f>
        <v>D0008</v>
      </c>
      <c r="F47" s="2" t="str">
        <f>IF(A47=0,IF(AND(LEN(B47)&gt;0,LEN(D47)=0),VLOOKUP(B47,'[1]zawodnicy'!$A:$E,1,FALSE),IF(AND(LEN(D47)&gt;0,LEN(B47)=0),VLOOKUP(D47,'[1]zawodnicy'!$A:$E,1,FALSE),"")),IF((VLOOKUP(A47,'[1]plan gier'!$X:$AF,7,FALSE))="","",VLOOKUP(VLOOKUP(A47,'[1]plan gier'!$X:$AF,7,FALSE),'[1]zawodnicy'!$A:$E,1,FALSE)))</f>
        <v>M0027</v>
      </c>
      <c r="G47" s="2" t="str">
        <f>IF(A47=0,IF(AND(LEN(C47)&gt;1,LEN(E47)=0),VLOOKUP(C47,'[1]zawodnicy'!$A:$E,1,FALSE),IF(AND(LEN(E47)&gt;1,LEN(C47)=0),VLOOKUP(E47,'[1]zawodnicy'!$A:$E,1,FALSE),"")),IF((VLOOKUP(A47,'[1]plan gier'!$X:$AF,8,FALSE))="","",VLOOKUP(VLOOKUP(A47,'[1]plan gier'!$X:$AF,8,FALSE),'[1]zawodnicy'!$A:$E,1,FALSE)))</f>
        <v>R0013</v>
      </c>
      <c r="H47" s="2" t="str">
        <f>IF(A47=0,"",IF((VLOOKUP(A47,'[1]plan gier'!$X:$AF,7,FALSE))="","",VLOOKUP(A47,'[1]plan gier'!$X:$AF,9,FALSE)))</f>
        <v>21:16,21:14</v>
      </c>
      <c r="I47" s="2" t="str">
        <f>IF(A47=0,"",IF(VLOOKUP(A47,'[1]plan gier'!A:S,19,FALSE)="","",VLOOKUP(A47,'[1]plan gier'!A:S,19,FALSE)))</f>
        <v>godz.14:20</v>
      </c>
      <c r="J47" s="2">
        <f>IF(L46="","",VLOOKUP(L46,A:J,10,FALSE))</f>
        <v>0</v>
      </c>
      <c r="L47" s="249"/>
      <c r="N47" s="231" t="str">
        <f>IF(L46="","",IF(LEN(VLOOKUP(L46,A:J,7,FALSE))=0,"",IF(VLOOKUP(L46,A:J,7,FALSE)=VLOOKUP(L46,A:M,3,FALSE),VLOOKUP(L46,A:M,5,FALSE),VLOOKUP(L46,A:M,3,FALSE))))</f>
        <v>R0013</v>
      </c>
      <c r="O47" s="232" t="str">
        <f>IF(N47&lt;&gt;"",CONCATENATE(VLOOKUP(N47,'[1]zawodnicy'!$A:$E,2,FALSE)," ",VLOOKUP(N47,'[1]zawodnicy'!$A:$E,3,FALSE)," - ",VLOOKUP(N47,'[1]zawodnicy'!$A:$E,4,FALSE)),"")</f>
        <v>Natalia RÓG - Nowa Dęba</v>
      </c>
      <c r="P47" s="233">
        <v>67</v>
      </c>
      <c r="Q47" s="96" t="str">
        <f>IF(G47="","",VLOOKUP(G47,'[1]zawodnicy'!$A:$D,3,FALSE))</f>
        <v>RÓG</v>
      </c>
      <c r="R47" s="101"/>
      <c r="S47" s="101"/>
      <c r="T47" s="101"/>
    </row>
    <row r="48" spans="12:20" ht="15">
      <c r="L48" s="118">
        <v>66</v>
      </c>
      <c r="N48" s="228" t="str">
        <f>IF(L48="","",IF(LEN(VLOOKUP(L48,A:J,6,FALSE))=0,"",IF(VLOOKUP(L48,A:J,6,FALSE)=VLOOKUP(L48,A:M,2,FALSE),VLOOKUP(L48,A:M,4,FALSE),VLOOKUP(L48,A:M,2,FALSE))))</f>
        <v>K0012</v>
      </c>
      <c r="O48" s="229" t="str">
        <f>IF(N48&lt;&gt;"",CONCATENATE(VLOOKUP(N48,'[1]zawodnicy'!$A:$E,2,FALSE)," ",VLOOKUP(N48,'[1]zawodnicy'!$A:$E,3,FALSE)," - ",VLOOKUP(N48,'[1]zawodnicy'!$A:$E,4,FALSE)),"")</f>
        <v>Piotr KOTERBA - Rzeszów</v>
      </c>
      <c r="P48" s="234"/>
      <c r="Q48" s="97" t="str">
        <f>IF(H47="",I47,H47)</f>
        <v>21:16,21:14</v>
      </c>
      <c r="R48" s="101"/>
      <c r="S48" s="101"/>
      <c r="T48" s="101"/>
    </row>
    <row r="49" spans="1:20" ht="15">
      <c r="A49" s="245"/>
      <c r="B49" s="9"/>
      <c r="C49" s="9"/>
      <c r="D49" s="9"/>
      <c r="E49" s="9"/>
      <c r="F49" s="9"/>
      <c r="G49" s="9"/>
      <c r="H49" s="9"/>
      <c r="I49" s="9"/>
      <c r="J49" s="9"/>
      <c r="L49" s="250"/>
      <c r="N49" s="231" t="str">
        <f>IF(L48="","",IF(LEN(VLOOKUP(L48,A:J,7,FALSE))=0,"",IF(VLOOKUP(L48,A:J,7,FALSE)=VLOOKUP(L48,A:M,3,FALSE),VLOOKUP(L48,A:M,5,FALSE),VLOOKUP(L48,A:M,3,FALSE))))</f>
        <v>D0008</v>
      </c>
      <c r="O49" s="232" t="str">
        <f>IF(N49&lt;&gt;"",CONCATENATE(VLOOKUP(N49,'[1]zawodnicy'!$A:$E,2,FALSE)," ",VLOOKUP(N49,'[1]zawodnicy'!$A:$E,3,FALSE)," - ",VLOOKUP(N49,'[1]zawodnicy'!$A:$E,4,FALSE)),"")</f>
        <v>Patrycja DOMAŃSKA - Rzeszów</v>
      </c>
      <c r="P49" s="246"/>
      <c r="Q49" s="251"/>
      <c r="R49" s="101"/>
      <c r="S49" s="101"/>
      <c r="T49" s="101"/>
    </row>
    <row r="50" ht="12.75"/>
  </sheetData>
  <sheetProtection/>
  <mergeCells count="4">
    <mergeCell ref="M1:U1"/>
    <mergeCell ref="M2:U2"/>
    <mergeCell ref="M4:U4"/>
    <mergeCell ref="N44:P44"/>
  </mergeCells>
  <dataValidations count="1">
    <dataValidation type="list" allowBlank="1" showInputMessage="1" showErrorMessage="1" sqref="L8">
      <formula1>Podw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ORBITEK</cp:lastModifiedBy>
  <dcterms:created xsi:type="dcterms:W3CDTF">2012-12-16T20:04:46Z</dcterms:created>
  <dcterms:modified xsi:type="dcterms:W3CDTF">2012-12-20T16:56:08Z</dcterms:modified>
  <cp:category/>
  <cp:version/>
  <cp:contentType/>
  <cp:contentStatus/>
</cp:coreProperties>
</file>