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260" windowHeight="5565" activeTab="0"/>
  </bookViews>
  <sheets>
    <sheet name="WYNIKI" sheetId="1" r:id="rId1"/>
    <sheet name="Arkusz2" sheetId="2" state="hidden" r:id="rId2"/>
    <sheet name="Arkusz3" sheetId="3" state="hidden" r:id="rId3"/>
    <sheet name="Arkusz1" sheetId="4" state="hidden" r:id="rId4"/>
  </sheets>
  <externalReferences>
    <externalReference r:id="rId7"/>
  </externalReferences>
  <definedNames>
    <definedName name="Gry">'[1]dane'!$I$3:$I$7</definedName>
    <definedName name="_xlnm.Print_Area" localSheetId="0">'WYNIKI'!$Q$1:$AE$222</definedName>
    <definedName name="Podw">'[1]dane'!#REF!</definedName>
    <definedName name="Poj">'[1]dane'!$I$3:$I$7</definedName>
  </definedNames>
  <calcPr fullCalcOnLoad="1"/>
</workbook>
</file>

<file path=xl/comments1.xml><?xml version="1.0" encoding="utf-8"?>
<comments xmlns="http://schemas.openxmlformats.org/spreadsheetml/2006/main">
  <authors>
    <author>Marek Łysakowski</author>
  </authors>
  <commentList>
    <comment ref="O6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2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28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3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42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4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4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4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53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5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5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5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67" authorId="0">
      <text>
        <r>
          <rPr>
            <b/>
            <sz val="9"/>
            <rFont val="Tahoma"/>
            <family val="2"/>
          </rPr>
          <t>W celu wypełnienia drabinki po zakończeniu gier w grupach wybierz rodzaj gry</t>
        </r>
      </text>
    </comment>
    <comment ref="Y7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AB7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Y7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8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AB8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8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Y8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AB9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Y9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02" authorId="0">
      <text>
        <r>
          <rPr>
            <b/>
            <sz val="9"/>
            <rFont val="Tahoma"/>
            <family val="2"/>
          </rPr>
          <t>Wpisz nr meczu półfinałowego z górnej połówki drabinki</t>
        </r>
        <r>
          <rPr>
            <sz val="9"/>
            <rFont val="Tahoma"/>
            <family val="2"/>
          </rPr>
          <t xml:space="preserve">
</t>
        </r>
      </text>
    </comment>
    <comment ref="V10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03" authorId="0">
      <text>
        <r>
          <rPr>
            <b/>
            <sz val="9"/>
            <rFont val="Tahoma"/>
            <family val="2"/>
          </rPr>
          <t>Wpisz nr meczu półfinałowego z dolnej połówki drabinki</t>
        </r>
      </text>
    </comment>
    <comment ref="O108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1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1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1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22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2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2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2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36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4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4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4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4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4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4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50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5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5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5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62" authorId="0">
      <text>
        <r>
          <rPr>
            <b/>
            <sz val="10"/>
            <rFont val="Times New Roman CE"/>
            <family val="1"/>
          </rPr>
          <t>Dla systemu grupowo-pucharowego wpisz miejsce w grupie.</t>
        </r>
      </text>
    </comment>
    <comment ref="V16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69" authorId="0">
      <text>
        <r>
          <rPr>
            <b/>
            <sz val="10"/>
            <rFont val="Times New Roman CE"/>
            <family val="1"/>
          </rPr>
          <t>Dla systemu grupowo-pucharowego wpisz miejsce w grupie.</t>
        </r>
      </text>
    </comment>
    <comment ref="V17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78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8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8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8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89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9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9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9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200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20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0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0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12" authorId="0">
      <text>
        <r>
          <rPr>
            <b/>
            <sz val="10"/>
            <rFont val="Times New Roman CE"/>
            <family val="1"/>
          </rPr>
          <t>Dla systemu grupowo-pucharowego wpisz miejsce w grupie.</t>
        </r>
      </text>
    </comment>
    <comment ref="O212" authorId="0">
      <text>
        <r>
          <rPr>
            <b/>
            <sz val="10"/>
            <rFont val="Times New Roman CE"/>
            <family val="1"/>
          </rPr>
          <t>Dla systemu pucharowego wpisz ilość zawodników.
Dla systemu grupowo-pucharowego wpisz ilość grup.</t>
        </r>
      </text>
    </comment>
    <comment ref="V21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Y21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21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<sst xmlns="http://schemas.openxmlformats.org/spreadsheetml/2006/main" count="410" uniqueCount="69">
  <si>
    <t>c</t>
  </si>
  <si>
    <t>Runners Up</t>
  </si>
  <si>
    <t>Lp</t>
  </si>
  <si>
    <t>Zawodnik</t>
  </si>
  <si>
    <t>Punkty</t>
  </si>
  <si>
    <t>Sety</t>
  </si>
  <si>
    <t>Mecze</t>
  </si>
  <si>
    <t>Miejsce</t>
  </si>
  <si>
    <t>Kolejność
gier</t>
  </si>
  <si>
    <t>Nr
gry</t>
  </si>
  <si>
    <t>Z planu gier</t>
  </si>
  <si>
    <t>Do obliczeń</t>
  </si>
  <si>
    <t>N0002</t>
  </si>
  <si>
    <t>1 set</t>
  </si>
  <si>
    <t>2 set</t>
  </si>
  <si>
    <t>3 set</t>
  </si>
  <si>
    <t>1-3</t>
  </si>
  <si>
    <t>P0022</t>
  </si>
  <si>
    <t>2-3</t>
  </si>
  <si>
    <t>1-2</t>
  </si>
  <si>
    <t>M0005</t>
  </si>
  <si>
    <t>S0029</t>
  </si>
  <si>
    <t>P0021</t>
  </si>
  <si>
    <t>B0016</t>
  </si>
  <si>
    <t>K0012</t>
  </si>
  <si>
    <t>S0033</t>
  </si>
  <si>
    <t>2-4</t>
  </si>
  <si>
    <t>1-4</t>
  </si>
  <si>
    <t>S0032</t>
  </si>
  <si>
    <t>3-4</t>
  </si>
  <si>
    <t>W0012</t>
  </si>
  <si>
    <t>S0020</t>
  </si>
  <si>
    <t>S0034</t>
  </si>
  <si>
    <t>B0015</t>
  </si>
  <si>
    <t>M0008</t>
  </si>
  <si>
    <t>M0026</t>
  </si>
  <si>
    <t>M0023</t>
  </si>
  <si>
    <t>Mecze o miejsca I - X</t>
  </si>
  <si>
    <t>1. z gr. 1</t>
  </si>
  <si>
    <t>1. z gr. 3</t>
  </si>
  <si>
    <t>1. z gr. 2</t>
  </si>
  <si>
    <t>2. z gr. 5</t>
  </si>
  <si>
    <t>2. z gr. 4</t>
  </si>
  <si>
    <t>2. z gr. 3</t>
  </si>
  <si>
    <t>2. z gr. 2</t>
  </si>
  <si>
    <t>1. z gr. 4</t>
  </si>
  <si>
    <t>2. z gr. 1</t>
  </si>
  <si>
    <t>1. z gr. 5</t>
  </si>
  <si>
    <t>Mecz o III miejsce</t>
  </si>
  <si>
    <t>4.</t>
  </si>
  <si>
    <t>3.</t>
  </si>
  <si>
    <t>o 3 miejsce</t>
  </si>
  <si>
    <t>Kobiet</t>
  </si>
  <si>
    <t>J0003</t>
  </si>
  <si>
    <t>N0005</t>
  </si>
  <si>
    <t>D0008</t>
  </si>
  <si>
    <t>Old Boys</t>
  </si>
  <si>
    <t>B0009</t>
  </si>
  <si>
    <t>K0003</t>
  </si>
  <si>
    <t>Open</t>
  </si>
  <si>
    <t>K0033</t>
  </si>
  <si>
    <t>R0008</t>
  </si>
  <si>
    <t>K0011</t>
  </si>
  <si>
    <t>K0001</t>
  </si>
  <si>
    <t>I0002</t>
  </si>
  <si>
    <t>S0030</t>
  </si>
  <si>
    <t>J0001</t>
  </si>
  <si>
    <t>Mecz o I miejsce</t>
  </si>
  <si>
    <t>Podwójna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</si>
</sst>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0"/>
      <color indexed="10"/>
      <name val="Times New Roman CE"/>
      <family val="1"/>
    </font>
    <font>
      <sz val="10"/>
      <name val="Times New Roman CE"/>
      <family val="1"/>
    </font>
    <font>
      <sz val="8"/>
      <name val="Tahoma"/>
      <family val="2"/>
    </font>
    <font>
      <b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/>
    </xf>
    <xf numFmtId="0" fontId="2" fillId="35" borderId="15" xfId="0" applyFont="1" applyFill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34" borderId="18" xfId="0" applyFill="1" applyBorder="1" applyAlignment="1" applyProtection="1">
      <alignment vertical="center"/>
      <protection locked="0"/>
    </xf>
    <xf numFmtId="0" fontId="0" fillId="36" borderId="0" xfId="0" applyFill="1" applyBorder="1" applyAlignment="1" applyProtection="1">
      <alignment vertical="center"/>
      <protection/>
    </xf>
    <xf numFmtId="0" fontId="2" fillId="35" borderId="19" xfId="0" applyFont="1" applyFill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0" fillId="34" borderId="22" xfId="0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35" borderId="30" xfId="0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35" borderId="31" xfId="0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37" borderId="32" xfId="0" applyFill="1" applyBorder="1" applyAlignment="1" applyProtection="1">
      <alignment vertical="center"/>
      <protection/>
    </xf>
    <xf numFmtId="0" fontId="0" fillId="37" borderId="33" xfId="0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35" borderId="36" xfId="0" applyFill="1" applyBorder="1" applyAlignment="1" applyProtection="1">
      <alignment vertical="center"/>
      <protection/>
    </xf>
    <xf numFmtId="0" fontId="0" fillId="35" borderId="37" xfId="0" applyFill="1" applyBorder="1" applyAlignment="1" applyProtection="1">
      <alignment vertical="center"/>
      <protection/>
    </xf>
    <xf numFmtId="0" fontId="0" fillId="37" borderId="38" xfId="0" applyFill="1" applyBorder="1" applyAlignment="1" applyProtection="1">
      <alignment vertical="center"/>
      <protection/>
    </xf>
    <xf numFmtId="0" fontId="0" fillId="37" borderId="39" xfId="0" applyFill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41" xfId="0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 quotePrefix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35" borderId="42" xfId="0" applyFill="1" applyBorder="1" applyAlignment="1" applyProtection="1">
      <alignment vertical="center"/>
      <protection/>
    </xf>
    <xf numFmtId="0" fontId="0" fillId="35" borderId="43" xfId="0" applyFill="1" applyBorder="1" applyAlignment="1" applyProtection="1">
      <alignment vertical="center"/>
      <protection/>
    </xf>
    <xf numFmtId="0" fontId="0" fillId="37" borderId="44" xfId="0" applyFill="1" applyBorder="1" applyAlignment="1" applyProtection="1">
      <alignment vertical="center"/>
      <protection/>
    </xf>
    <xf numFmtId="0" fontId="0" fillId="37" borderId="45" xfId="0" applyFill="1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35" borderId="28" xfId="0" applyFont="1" applyFill="1" applyBorder="1" applyAlignment="1" applyProtection="1">
      <alignment vertical="center"/>
      <protection/>
    </xf>
    <xf numFmtId="0" fontId="2" fillId="0" borderId="0" xfId="0" applyFont="1" applyAlignment="1" applyProtection="1" quotePrefix="1">
      <alignment horizontal="center" vertical="center"/>
      <protection/>
    </xf>
    <xf numFmtId="0" fontId="2" fillId="35" borderId="21" xfId="0" applyFont="1" applyFill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35" borderId="5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0" fontId="0" fillId="0" borderId="54" xfId="0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0" fillId="37" borderId="38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37" borderId="44" xfId="0" applyFill="1" applyBorder="1" applyAlignment="1" applyProtection="1">
      <alignment horizontal="center" vertical="center"/>
      <protection/>
    </xf>
    <xf numFmtId="0" fontId="0" fillId="37" borderId="56" xfId="0" applyFill="1" applyBorder="1" applyAlignment="1" applyProtection="1">
      <alignment horizontal="center" vertical="center"/>
      <protection/>
    </xf>
    <xf numFmtId="0" fontId="2" fillId="35" borderId="57" xfId="0" applyFont="1" applyFill="1" applyBorder="1" applyAlignment="1" applyProtection="1">
      <alignment vertical="center"/>
      <protection/>
    </xf>
    <xf numFmtId="0" fontId="2" fillId="35" borderId="58" xfId="0" applyFont="1" applyFill="1" applyBorder="1" applyAlignment="1" applyProtection="1">
      <alignment vertical="center"/>
      <protection/>
    </xf>
    <xf numFmtId="0" fontId="0" fillId="33" borderId="37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38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59" xfId="0" applyFont="1" applyBorder="1" applyAlignment="1" applyProtection="1">
      <alignment vertical="center"/>
      <protection locked="0"/>
    </xf>
    <xf numFmtId="0" fontId="2" fillId="0" borderId="59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2" fillId="39" borderId="0" xfId="0" applyFont="1" applyFill="1" applyAlignment="1">
      <alignment vertical="center"/>
    </xf>
    <xf numFmtId="0" fontId="2" fillId="0" borderId="60" xfId="0" applyFont="1" applyBorder="1" applyAlignment="1">
      <alignment horizontal="left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9" xfId="0" applyFont="1" applyBorder="1" applyAlignment="1">
      <alignment horizontal="right"/>
    </xf>
    <xf numFmtId="0" fontId="2" fillId="40" borderId="0" xfId="0" applyFont="1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22" fontId="2" fillId="0" borderId="0" xfId="0" applyNumberFormat="1" applyFont="1" applyAlignment="1" applyProtection="1">
      <alignment horizontal="center" vertical="center"/>
      <protection/>
    </xf>
    <xf numFmtId="2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36" borderId="0" xfId="0" applyFill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0" fillId="34" borderId="37" xfId="0" applyFill="1" applyBorder="1" applyAlignment="1">
      <alignment horizontal="right" vertical="center"/>
    </xf>
    <xf numFmtId="0" fontId="0" fillId="0" borderId="61" xfId="0" applyFill="1" applyBorder="1" applyAlignment="1">
      <alignment horizontal="right" vertical="center"/>
    </xf>
    <xf numFmtId="0" fontId="0" fillId="34" borderId="0" xfId="0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36" borderId="34" xfId="0" applyFill="1" applyBorder="1" applyAlignment="1">
      <alignment horizontal="right" vertical="center"/>
    </xf>
    <xf numFmtId="0" fontId="0" fillId="36" borderId="61" xfId="0" applyFill="1" applyBorder="1" applyAlignment="1">
      <alignment horizontal="right" vertical="center"/>
    </xf>
    <xf numFmtId="0" fontId="0" fillId="34" borderId="37" xfId="0" applyFill="1" applyBorder="1" applyAlignment="1" applyProtection="1">
      <alignment horizontal="center" vertical="center"/>
      <protection/>
    </xf>
    <xf numFmtId="0" fontId="2" fillId="34" borderId="37" xfId="0" applyFon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62" xfId="0" applyFont="1" applyBorder="1" applyAlignment="1">
      <alignment/>
    </xf>
    <xf numFmtId="0" fontId="0" fillId="34" borderId="37" xfId="0" applyFill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62" xfId="0" applyFont="1" applyBorder="1" applyAlignment="1">
      <alignment vertical="center"/>
    </xf>
    <xf numFmtId="0" fontId="0" fillId="34" borderId="63" xfId="0" applyFill="1" applyBorder="1" applyAlignment="1">
      <alignment horizontal="center" vertical="center"/>
    </xf>
    <xf numFmtId="0" fontId="2" fillId="0" borderId="64" xfId="0" applyFont="1" applyBorder="1" applyAlignment="1">
      <alignment horizontal="left"/>
    </xf>
    <xf numFmtId="0" fontId="0" fillId="0" borderId="65" xfId="0" applyBorder="1" applyAlignment="1">
      <alignment vertical="center"/>
    </xf>
    <xf numFmtId="0" fontId="0" fillId="34" borderId="23" xfId="0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59" xfId="0" applyFont="1" applyBorder="1" applyAlignment="1">
      <alignment/>
    </xf>
    <xf numFmtId="0" fontId="2" fillId="0" borderId="0" xfId="0" applyFont="1" applyFill="1" applyAlignment="1">
      <alignment vertical="center"/>
    </xf>
    <xf numFmtId="0" fontId="0" fillId="0" borderId="33" xfId="0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67" xfId="0" applyFont="1" applyFill="1" applyBorder="1" applyAlignment="1" applyProtection="1">
      <alignment horizontal="center" vertical="center"/>
      <protection/>
    </xf>
    <xf numFmtId="0" fontId="2" fillId="0" borderId="68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71" xfId="0" applyFont="1" applyFill="1" applyBorder="1" applyAlignment="1" applyProtection="1">
      <alignment horizontal="center" vertical="center"/>
      <protection/>
    </xf>
    <xf numFmtId="0" fontId="2" fillId="0" borderId="72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0" fillId="37" borderId="32" xfId="0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center" vertical="center"/>
      <protection/>
    </xf>
    <xf numFmtId="0" fontId="2" fillId="0" borderId="7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5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2" fillId="0" borderId="74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7%20GP%20Victo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gry"/>
      <sheetName val="plan gier"/>
      <sheetName val="grup-puch"/>
      <sheetName val="puch"/>
      <sheetName val="tabelki"/>
      <sheetName val="drabinki"/>
      <sheetName val="sędziowie"/>
      <sheetName val="zawodnic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Moduł1"/>
      <sheetName val="Moduł2"/>
    </sheetNames>
    <sheetDataSet>
      <sheetData sheetId="0">
        <row r="3">
          <cell r="D3" t="str">
            <v>Mielec,  20-10-2012 r.</v>
          </cell>
          <cell r="I3" t="str">
            <v>Runners Up</v>
          </cell>
        </row>
        <row r="4">
          <cell r="I4" t="str">
            <v>Old Boys</v>
          </cell>
        </row>
        <row r="5">
          <cell r="I5" t="str">
            <v>Kobiet</v>
          </cell>
        </row>
        <row r="6">
          <cell r="I6" t="str">
            <v>Open</v>
          </cell>
        </row>
        <row r="7">
          <cell r="I7" t="str">
            <v>Podwójna</v>
          </cell>
        </row>
      </sheetData>
      <sheetData sheetId="2">
        <row r="1">
          <cell r="C1" t="str">
            <v>Boisko</v>
          </cell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 t="str">
            <v>Nr gry</v>
          </cell>
        </row>
        <row r="2">
          <cell r="A2" t="str">
            <v>Nr </v>
          </cell>
          <cell r="D2" t="str">
            <v>Drukowanie prorokółów</v>
          </cell>
          <cell r="N2">
            <v>1</v>
          </cell>
          <cell r="X2" t="str">
            <v>*</v>
          </cell>
        </row>
        <row r="3">
          <cell r="A3" t="str">
            <v>meczu</v>
          </cell>
          <cell r="S3">
            <v>41204</v>
          </cell>
          <cell r="X3" t="str">
            <v>nr gry</v>
          </cell>
          <cell r="Z3" t="str">
            <v>zawodnicy</v>
          </cell>
          <cell r="AD3" t="str">
            <v>awans</v>
          </cell>
          <cell r="AF3" t="str">
            <v>rezultat</v>
          </cell>
          <cell r="AI3" t="str">
            <v>1 set</v>
          </cell>
          <cell r="AK3" t="str">
            <v>2 set</v>
          </cell>
          <cell r="AM3" t="str">
            <v>3 set</v>
          </cell>
        </row>
        <row r="4">
          <cell r="B4">
            <v>1</v>
          </cell>
          <cell r="C4" t="str">
            <v>dzień turnieju.</v>
          </cell>
          <cell r="I4" t="str">
            <v>Nr meczu</v>
          </cell>
          <cell r="N4" t="str">
            <v>Godz.</v>
          </cell>
          <cell r="R4" t="str">
            <v>S. prow.</v>
          </cell>
          <cell r="AF4" t="str">
            <v>wygrany</v>
          </cell>
          <cell r="AG4" t="str">
            <v>przegrany</v>
          </cell>
        </row>
        <row r="5">
          <cell r="B5" t="str">
            <v>Boisko</v>
          </cell>
          <cell r="C5" t="str">
            <v>Gra</v>
          </cell>
          <cell r="I5">
            <v>1</v>
          </cell>
          <cell r="N5" t="str">
            <v>rozp.</v>
          </cell>
          <cell r="P5" t="str">
            <v>zak.</v>
          </cell>
          <cell r="R5" t="str">
            <v>S. serw.</v>
          </cell>
        </row>
        <row r="6">
          <cell r="A6">
            <v>1</v>
          </cell>
          <cell r="C6" t="str">
            <v>Runners Up</v>
          </cell>
          <cell r="H6">
            <v>19</v>
          </cell>
          <cell r="I6">
            <v>21</v>
          </cell>
          <cell r="J6">
            <v>21</v>
          </cell>
          <cell r="K6">
            <v>14</v>
          </cell>
          <cell r="L6">
            <v>21</v>
          </cell>
          <cell r="M6">
            <v>18</v>
          </cell>
          <cell r="R6">
            <v>0</v>
          </cell>
          <cell r="S6" t="str">
            <v>godz.9:00</v>
          </cell>
          <cell r="X6">
            <v>1</v>
          </cell>
          <cell r="Y6" t="str">
            <v>Runners Up</v>
          </cell>
          <cell r="Z6" t="str">
            <v>N0002</v>
          </cell>
          <cell r="AA6" t="str">
            <v/>
          </cell>
          <cell r="AB6" t="str">
            <v>M0005</v>
          </cell>
          <cell r="AC6" t="str">
            <v/>
          </cell>
          <cell r="AD6" t="str">
            <v>N0002</v>
          </cell>
          <cell r="AE6" t="str">
            <v/>
          </cell>
          <cell r="AF6" t="str">
            <v>19:21,21:14,21:18</v>
          </cell>
          <cell r="AG6" t="str">
            <v>21:19,14:21,18:21</v>
          </cell>
          <cell r="AH6" t="str">
            <v/>
          </cell>
          <cell r="AI6">
            <v>19</v>
          </cell>
          <cell r="AJ6">
            <v>21</v>
          </cell>
          <cell r="AK6">
            <v>21</v>
          </cell>
          <cell r="AL6">
            <v>14</v>
          </cell>
          <cell r="AM6">
            <v>21</v>
          </cell>
          <cell r="AN6">
            <v>18</v>
          </cell>
        </row>
        <row r="7">
          <cell r="A7" t="str">
            <v/>
          </cell>
          <cell r="B7" t="str">
            <v>Robert NOWAK (Mielec)</v>
          </cell>
          <cell r="H7" t="str">
            <v>N0002</v>
          </cell>
          <cell r="K7" t="str">
            <v>M0005</v>
          </cell>
          <cell r="N7" t="str">
            <v>Piotr MALIK (Tarnobrzeg)</v>
          </cell>
        </row>
        <row r="8">
          <cell r="A8" t="str">
            <v/>
          </cell>
          <cell r="B8" t="str">
            <v/>
          </cell>
          <cell r="H8" t="str">
            <v/>
          </cell>
          <cell r="K8" t="str">
            <v/>
          </cell>
          <cell r="N8" t="str">
            <v/>
          </cell>
        </row>
        <row r="10">
          <cell r="B10" t="str">
            <v>zwycięzca(cy): 19:21,21:14,21:18</v>
          </cell>
          <cell r="K10" t="str">
            <v/>
          </cell>
        </row>
        <row r="11">
          <cell r="B11">
            <v>2</v>
          </cell>
          <cell r="C11" t="str">
            <v>dzień turnieju.</v>
          </cell>
          <cell r="I11" t="str">
            <v>Nr meczu</v>
          </cell>
          <cell r="N11" t="str">
            <v>Godz.</v>
          </cell>
          <cell r="R11" t="str">
            <v>S. prow.</v>
          </cell>
          <cell r="AF11" t="str">
            <v>wygrany</v>
          </cell>
          <cell r="AG11" t="str">
            <v>przegrany</v>
          </cell>
        </row>
        <row r="12">
          <cell r="B12" t="str">
            <v>Boisko</v>
          </cell>
          <cell r="C12" t="str">
            <v>Gra</v>
          </cell>
          <cell r="I12">
            <v>2</v>
          </cell>
          <cell r="N12" t="str">
            <v>rozp.</v>
          </cell>
          <cell r="P12" t="str">
            <v>zak.</v>
          </cell>
          <cell r="R12" t="str">
            <v>S. serw.</v>
          </cell>
        </row>
        <row r="13">
          <cell r="A13">
            <v>2</v>
          </cell>
          <cell r="C13" t="str">
            <v>Runners Up</v>
          </cell>
          <cell r="H13">
            <v>21</v>
          </cell>
          <cell r="I13">
            <v>16</v>
          </cell>
          <cell r="J13">
            <v>21</v>
          </cell>
          <cell r="K13">
            <v>16</v>
          </cell>
          <cell r="R13">
            <v>0</v>
          </cell>
          <cell r="S13" t="str">
            <v>godz.9:00</v>
          </cell>
          <cell r="X13">
            <v>2</v>
          </cell>
          <cell r="Y13" t="str">
            <v>Runners Up</v>
          </cell>
          <cell r="Z13" t="str">
            <v>S0029</v>
          </cell>
          <cell r="AA13" t="str">
            <v/>
          </cell>
          <cell r="AB13" t="str">
            <v>B0016</v>
          </cell>
          <cell r="AC13" t="str">
            <v/>
          </cell>
          <cell r="AD13" t="str">
            <v>S0029</v>
          </cell>
          <cell r="AE13" t="str">
            <v/>
          </cell>
          <cell r="AF13" t="str">
            <v>21:16,21:16</v>
          </cell>
          <cell r="AG13" t="str">
            <v>16:21,16:21</v>
          </cell>
          <cell r="AH13" t="str">
            <v/>
          </cell>
          <cell r="AI13">
            <v>21</v>
          </cell>
          <cell r="AJ13">
            <v>16</v>
          </cell>
          <cell r="AK13">
            <v>21</v>
          </cell>
          <cell r="AL13">
            <v>16</v>
          </cell>
          <cell r="AM13">
            <v>0</v>
          </cell>
          <cell r="AN13">
            <v>0</v>
          </cell>
        </row>
        <row r="14">
          <cell r="A14" t="str">
            <v/>
          </cell>
          <cell r="B14" t="str">
            <v>Patryk STOLARZ (Mielec)</v>
          </cell>
          <cell r="H14" t="str">
            <v>S0029</v>
          </cell>
          <cell r="K14" t="str">
            <v>B0016</v>
          </cell>
          <cell r="N14" t="str">
            <v>Krzysztof BIELSKI (Krosno)</v>
          </cell>
        </row>
        <row r="15">
          <cell r="A15" t="str">
            <v/>
          </cell>
          <cell r="B15" t="str">
            <v/>
          </cell>
          <cell r="H15" t="str">
            <v/>
          </cell>
          <cell r="K15" t="str">
            <v/>
          </cell>
          <cell r="N15" t="str">
            <v/>
          </cell>
        </row>
        <row r="17">
          <cell r="B17" t="str">
            <v>zwycięzca(cy): 21:16,21:16</v>
          </cell>
          <cell r="K17" t="str">
            <v/>
          </cell>
        </row>
        <row r="18">
          <cell r="B18">
            <v>3</v>
          </cell>
          <cell r="C18" t="str">
            <v>dzień turnieju.</v>
          </cell>
          <cell r="I18" t="str">
            <v>Nr meczu</v>
          </cell>
          <cell r="N18" t="str">
            <v>Godz.</v>
          </cell>
          <cell r="R18" t="str">
            <v>S. prow.</v>
          </cell>
          <cell r="AF18" t="str">
            <v>wygrany</v>
          </cell>
          <cell r="AG18" t="str">
            <v>przegrany</v>
          </cell>
        </row>
        <row r="19">
          <cell r="B19" t="str">
            <v>Boisko</v>
          </cell>
          <cell r="C19" t="str">
            <v>Gra</v>
          </cell>
          <cell r="I19">
            <v>3</v>
          </cell>
          <cell r="N19" t="str">
            <v>rozp.</v>
          </cell>
          <cell r="P19" t="str">
            <v>zak.</v>
          </cell>
          <cell r="R19" t="str">
            <v>S. serw.</v>
          </cell>
        </row>
        <row r="20">
          <cell r="A20">
            <v>3</v>
          </cell>
          <cell r="C20" t="str">
            <v>Runners Up</v>
          </cell>
          <cell r="H20">
            <v>21</v>
          </cell>
          <cell r="I20">
            <v>8</v>
          </cell>
          <cell r="J20">
            <v>21</v>
          </cell>
          <cell r="K20">
            <v>8</v>
          </cell>
          <cell r="R20">
            <v>0</v>
          </cell>
          <cell r="S20" t="str">
            <v>godz.9:00</v>
          </cell>
          <cell r="X20">
            <v>3</v>
          </cell>
          <cell r="Y20" t="str">
            <v>Runners Up</v>
          </cell>
          <cell r="Z20" t="str">
            <v>K0012</v>
          </cell>
          <cell r="AA20" t="str">
            <v/>
          </cell>
          <cell r="AB20" t="str">
            <v>S0032</v>
          </cell>
          <cell r="AC20" t="str">
            <v/>
          </cell>
          <cell r="AD20" t="str">
            <v>K0012</v>
          </cell>
          <cell r="AE20" t="str">
            <v/>
          </cell>
          <cell r="AF20" t="str">
            <v>21:8,21:8</v>
          </cell>
          <cell r="AG20" t="str">
            <v>8:21,8:21</v>
          </cell>
          <cell r="AH20" t="str">
            <v/>
          </cell>
          <cell r="AI20">
            <v>21</v>
          </cell>
          <cell r="AJ20">
            <v>8</v>
          </cell>
          <cell r="AK20">
            <v>21</v>
          </cell>
          <cell r="AL20">
            <v>8</v>
          </cell>
          <cell r="AM20">
            <v>0</v>
          </cell>
          <cell r="AN20">
            <v>0</v>
          </cell>
        </row>
        <row r="21">
          <cell r="A21" t="str">
            <v/>
          </cell>
          <cell r="B21" t="str">
            <v>Piotr KOTERBA (Rzeszów)</v>
          </cell>
          <cell r="H21" t="str">
            <v>K0012</v>
          </cell>
          <cell r="K21" t="str">
            <v>S0032</v>
          </cell>
          <cell r="N21" t="str">
            <v>Łukasz SZANTULA (Mielec)</v>
          </cell>
        </row>
        <row r="22">
          <cell r="A22" t="str">
            <v/>
          </cell>
          <cell r="B22" t="str">
            <v/>
          </cell>
          <cell r="H22" t="str">
            <v/>
          </cell>
          <cell r="K22" t="str">
            <v/>
          </cell>
          <cell r="N22" t="str">
            <v/>
          </cell>
        </row>
        <row r="24">
          <cell r="B24" t="str">
            <v>zwycięzca(cy): 21:8,21:8</v>
          </cell>
          <cell r="K24" t="str">
            <v/>
          </cell>
        </row>
        <row r="25">
          <cell r="B25">
            <v>4</v>
          </cell>
          <cell r="C25" t="str">
            <v>dzień turnieju.</v>
          </cell>
          <cell r="I25" t="str">
            <v>Nr meczu</v>
          </cell>
          <cell r="N25" t="str">
            <v>Godz.</v>
          </cell>
          <cell r="R25" t="str">
            <v>S. prow.</v>
          </cell>
          <cell r="AF25" t="str">
            <v>wygrany</v>
          </cell>
          <cell r="AG25" t="str">
            <v>przegrany</v>
          </cell>
        </row>
        <row r="26">
          <cell r="B26" t="str">
            <v>Boisko</v>
          </cell>
          <cell r="C26" t="str">
            <v>Gra</v>
          </cell>
          <cell r="I26">
            <v>4</v>
          </cell>
          <cell r="N26" t="str">
            <v>rozp.</v>
          </cell>
          <cell r="P26" t="str">
            <v>zak.</v>
          </cell>
          <cell r="R26" t="str">
            <v>S. serw.</v>
          </cell>
        </row>
        <row r="27">
          <cell r="A27">
            <v>4</v>
          </cell>
          <cell r="C27" t="str">
            <v>Runners Up</v>
          </cell>
          <cell r="H27">
            <v>21</v>
          </cell>
          <cell r="I27">
            <v>8</v>
          </cell>
          <cell r="J27">
            <v>21</v>
          </cell>
          <cell r="K27">
            <v>8</v>
          </cell>
          <cell r="R27">
            <v>0</v>
          </cell>
          <cell r="S27" t="str">
            <v>godz.9:00</v>
          </cell>
          <cell r="X27">
            <v>4</v>
          </cell>
          <cell r="Y27" t="str">
            <v>Runners Up</v>
          </cell>
          <cell r="Z27" t="str">
            <v>S0020</v>
          </cell>
          <cell r="AA27" t="str">
            <v/>
          </cell>
          <cell r="AB27" t="str">
            <v>B0015</v>
          </cell>
          <cell r="AC27" t="str">
            <v/>
          </cell>
          <cell r="AD27" t="str">
            <v>S0020</v>
          </cell>
          <cell r="AE27" t="str">
            <v/>
          </cell>
          <cell r="AF27" t="str">
            <v>21:8,21:8</v>
          </cell>
          <cell r="AG27" t="str">
            <v>8:21,8:21</v>
          </cell>
          <cell r="AH27" t="str">
            <v/>
          </cell>
          <cell r="AI27">
            <v>21</v>
          </cell>
          <cell r="AJ27">
            <v>8</v>
          </cell>
          <cell r="AK27">
            <v>21</v>
          </cell>
          <cell r="AL27">
            <v>8</v>
          </cell>
          <cell r="AM27">
            <v>0</v>
          </cell>
          <cell r="AN27">
            <v>0</v>
          </cell>
        </row>
        <row r="28">
          <cell r="A28" t="str">
            <v/>
          </cell>
          <cell r="B28" t="str">
            <v>Mariusz SŁOMBA (Mielec)</v>
          </cell>
          <cell r="H28" t="str">
            <v>S0020</v>
          </cell>
          <cell r="K28" t="str">
            <v>B0015</v>
          </cell>
          <cell r="N28" t="str">
            <v>Tomasz BARAN (Krosno)</v>
          </cell>
        </row>
        <row r="29">
          <cell r="A29" t="str">
            <v/>
          </cell>
          <cell r="B29" t="str">
            <v/>
          </cell>
          <cell r="H29" t="str">
            <v/>
          </cell>
          <cell r="K29" t="str">
            <v/>
          </cell>
          <cell r="N29" t="str">
            <v/>
          </cell>
        </row>
        <row r="31">
          <cell r="B31" t="str">
            <v>zwycięzca(cy): 21:8,21:8</v>
          </cell>
          <cell r="K31" t="str">
            <v/>
          </cell>
        </row>
        <row r="32">
          <cell r="B32">
            <v>5</v>
          </cell>
          <cell r="C32" t="str">
            <v>dzień turnieju.</v>
          </cell>
          <cell r="I32" t="str">
            <v>Nr meczu</v>
          </cell>
          <cell r="N32" t="str">
            <v>Godz.</v>
          </cell>
          <cell r="R32" t="str">
            <v>S. prow.</v>
          </cell>
          <cell r="AF32" t="str">
            <v>wygrany</v>
          </cell>
          <cell r="AG32" t="str">
            <v>przegrany</v>
          </cell>
        </row>
        <row r="33">
          <cell r="B33" t="str">
            <v>Boisko</v>
          </cell>
          <cell r="C33" t="str">
            <v>Gra</v>
          </cell>
          <cell r="I33">
            <v>5</v>
          </cell>
          <cell r="N33" t="str">
            <v>rozp.</v>
          </cell>
          <cell r="P33" t="str">
            <v>zak.</v>
          </cell>
          <cell r="R33" t="str">
            <v>S. serw.</v>
          </cell>
        </row>
        <row r="34">
          <cell r="A34">
            <v>5</v>
          </cell>
          <cell r="C34" t="str">
            <v>Runners Up</v>
          </cell>
          <cell r="H34">
            <v>13</v>
          </cell>
          <cell r="I34">
            <v>21</v>
          </cell>
          <cell r="J34">
            <v>9</v>
          </cell>
          <cell r="K34">
            <v>21</v>
          </cell>
          <cell r="R34">
            <v>0</v>
          </cell>
          <cell r="S34" t="str">
            <v>godz.9:20</v>
          </cell>
          <cell r="X34">
            <v>5</v>
          </cell>
          <cell r="Y34" t="str">
            <v>Runners Up</v>
          </cell>
          <cell r="Z34" t="str">
            <v>M0008</v>
          </cell>
          <cell r="AA34" t="str">
            <v/>
          </cell>
          <cell r="AB34" t="str">
            <v>M0023</v>
          </cell>
          <cell r="AC34" t="str">
            <v/>
          </cell>
          <cell r="AD34" t="str">
            <v>M0023</v>
          </cell>
          <cell r="AE34" t="str">
            <v/>
          </cell>
          <cell r="AF34" t="str">
            <v>21:13,21:9</v>
          </cell>
          <cell r="AG34" t="str">
            <v>13:21,9:21</v>
          </cell>
          <cell r="AH34" t="str">
            <v/>
          </cell>
          <cell r="AI34">
            <v>13</v>
          </cell>
          <cell r="AJ34">
            <v>21</v>
          </cell>
          <cell r="AK34">
            <v>9</v>
          </cell>
          <cell r="AL34">
            <v>21</v>
          </cell>
          <cell r="AM34">
            <v>0</v>
          </cell>
          <cell r="AN34">
            <v>0</v>
          </cell>
        </row>
        <row r="35">
          <cell r="A35" t="str">
            <v/>
          </cell>
          <cell r="B35" t="str">
            <v>Tadeusz MICHALIK (Tarnów)</v>
          </cell>
          <cell r="H35" t="str">
            <v>M0008</v>
          </cell>
          <cell r="K35" t="str">
            <v>M0023</v>
          </cell>
          <cell r="N35" t="str">
            <v>Tymoteusz MALIK (Tarnobrzeg)</v>
          </cell>
        </row>
        <row r="36">
          <cell r="A36" t="str">
            <v/>
          </cell>
          <cell r="B36" t="str">
            <v/>
          </cell>
          <cell r="H36" t="str">
            <v/>
          </cell>
          <cell r="K36" t="str">
            <v/>
          </cell>
          <cell r="N36" t="str">
            <v/>
          </cell>
        </row>
        <row r="38">
          <cell r="B38" t="str">
            <v/>
          </cell>
          <cell r="K38" t="str">
            <v>zwycięzca(cy): 21:13,21:9</v>
          </cell>
        </row>
        <row r="39">
          <cell r="B39">
            <v>6</v>
          </cell>
          <cell r="C39" t="str">
            <v>dzień turnieju.</v>
          </cell>
          <cell r="I39" t="str">
            <v>Nr meczu</v>
          </cell>
          <cell r="N39" t="str">
            <v>Godz.</v>
          </cell>
          <cell r="R39" t="str">
            <v>S. prow.</v>
          </cell>
          <cell r="AF39" t="str">
            <v>wygrany</v>
          </cell>
          <cell r="AG39" t="str">
            <v>przegrany</v>
          </cell>
        </row>
        <row r="40">
          <cell r="B40" t="str">
            <v>Boisko</v>
          </cell>
          <cell r="C40" t="str">
            <v>Gra</v>
          </cell>
          <cell r="I40">
            <v>6</v>
          </cell>
          <cell r="N40" t="str">
            <v>rozp.</v>
          </cell>
          <cell r="P40" t="str">
            <v>zak.</v>
          </cell>
          <cell r="R40" t="str">
            <v>S. serw.</v>
          </cell>
        </row>
        <row r="41">
          <cell r="A41">
            <v>6</v>
          </cell>
          <cell r="C41" t="str">
            <v>Runners Up</v>
          </cell>
          <cell r="H41">
            <v>4</v>
          </cell>
          <cell r="I41">
            <v>21</v>
          </cell>
          <cell r="J41">
            <v>6</v>
          </cell>
          <cell r="K41">
            <v>21</v>
          </cell>
          <cell r="R41">
            <v>0</v>
          </cell>
          <cell r="S41" t="str">
            <v>godz.9:20</v>
          </cell>
          <cell r="X41">
            <v>6</v>
          </cell>
          <cell r="Y41" t="str">
            <v>Runners Up</v>
          </cell>
          <cell r="Z41" t="str">
            <v>P0022</v>
          </cell>
          <cell r="AA41" t="str">
            <v/>
          </cell>
          <cell r="AB41" t="str">
            <v>M0005</v>
          </cell>
          <cell r="AC41" t="str">
            <v/>
          </cell>
          <cell r="AD41" t="str">
            <v>M0005</v>
          </cell>
          <cell r="AE41" t="str">
            <v/>
          </cell>
          <cell r="AF41" t="str">
            <v>21:4,21:6</v>
          </cell>
          <cell r="AG41" t="str">
            <v>4:21,6:21</v>
          </cell>
          <cell r="AH41" t="str">
            <v/>
          </cell>
          <cell r="AI41">
            <v>4</v>
          </cell>
          <cell r="AJ41">
            <v>21</v>
          </cell>
          <cell r="AK41">
            <v>6</v>
          </cell>
          <cell r="AL41">
            <v>21</v>
          </cell>
          <cell r="AM41">
            <v>0</v>
          </cell>
          <cell r="AN41">
            <v>0</v>
          </cell>
        </row>
        <row r="42">
          <cell r="A42" t="str">
            <v/>
          </cell>
          <cell r="B42" t="str">
            <v>Mateusz POTOCKI (Krosno)</v>
          </cell>
          <cell r="H42" t="str">
            <v>P0022</v>
          </cell>
          <cell r="K42" t="str">
            <v>M0005</v>
          </cell>
          <cell r="N42" t="str">
            <v>Piotr MALIK (Tarnobrzeg)</v>
          </cell>
        </row>
        <row r="43">
          <cell r="A43" t="str">
            <v/>
          </cell>
          <cell r="B43" t="str">
            <v/>
          </cell>
          <cell r="H43" t="str">
            <v/>
          </cell>
          <cell r="K43" t="str">
            <v/>
          </cell>
          <cell r="N43" t="str">
            <v/>
          </cell>
        </row>
        <row r="45">
          <cell r="B45" t="str">
            <v/>
          </cell>
          <cell r="K45" t="str">
            <v>zwycięzca(cy): 21:4,21:6</v>
          </cell>
        </row>
        <row r="46">
          <cell r="B46">
            <v>7</v>
          </cell>
          <cell r="C46" t="str">
            <v>dzień turnieju.</v>
          </cell>
          <cell r="I46" t="str">
            <v>Nr meczu</v>
          </cell>
          <cell r="N46" t="str">
            <v>Godz.</v>
          </cell>
          <cell r="R46" t="str">
            <v>S. prow.</v>
          </cell>
          <cell r="AF46" t="str">
            <v>wygrany</v>
          </cell>
          <cell r="AG46" t="str">
            <v>przegrany</v>
          </cell>
        </row>
        <row r="47">
          <cell r="B47" t="str">
            <v>Boisko</v>
          </cell>
          <cell r="C47" t="str">
            <v>Gra</v>
          </cell>
          <cell r="I47">
            <v>7</v>
          </cell>
          <cell r="N47" t="str">
            <v>rozp.</v>
          </cell>
          <cell r="P47" t="str">
            <v>zak.</v>
          </cell>
          <cell r="R47" t="str">
            <v>S. serw.</v>
          </cell>
        </row>
        <row r="48">
          <cell r="A48">
            <v>7</v>
          </cell>
          <cell r="C48" t="str">
            <v>Runners Up</v>
          </cell>
          <cell r="H48">
            <v>5</v>
          </cell>
          <cell r="I48">
            <v>21</v>
          </cell>
          <cell r="J48">
            <v>3</v>
          </cell>
          <cell r="K48">
            <v>21</v>
          </cell>
          <cell r="R48">
            <v>0</v>
          </cell>
          <cell r="S48" t="str">
            <v>godz.9:20</v>
          </cell>
          <cell r="X48">
            <v>7</v>
          </cell>
          <cell r="Y48" t="str">
            <v>Runners Up</v>
          </cell>
          <cell r="Z48" t="str">
            <v>P0021</v>
          </cell>
          <cell r="AA48" t="str">
            <v/>
          </cell>
          <cell r="AB48" t="str">
            <v>B0016</v>
          </cell>
          <cell r="AC48" t="str">
            <v/>
          </cell>
          <cell r="AD48" t="str">
            <v>B0016</v>
          </cell>
          <cell r="AE48" t="str">
            <v/>
          </cell>
          <cell r="AF48" t="str">
            <v>21:5,21:3</v>
          </cell>
          <cell r="AG48" t="str">
            <v>5:21,3:21</v>
          </cell>
          <cell r="AH48" t="str">
            <v/>
          </cell>
          <cell r="AI48">
            <v>5</v>
          </cell>
          <cell r="AJ48">
            <v>21</v>
          </cell>
          <cell r="AK48">
            <v>3</v>
          </cell>
          <cell r="AL48">
            <v>21</v>
          </cell>
          <cell r="AM48">
            <v>0</v>
          </cell>
          <cell r="AN48">
            <v>0</v>
          </cell>
        </row>
        <row r="49">
          <cell r="A49" t="str">
            <v/>
          </cell>
          <cell r="B49" t="str">
            <v>Mikołaj POLAŃSKI (Rzeszów)</v>
          </cell>
          <cell r="H49" t="str">
            <v>P0021</v>
          </cell>
          <cell r="K49" t="str">
            <v>B0016</v>
          </cell>
          <cell r="N49" t="str">
            <v>Krzysztof BIELSKI (Krosno)</v>
          </cell>
        </row>
        <row r="50">
          <cell r="A50" t="str">
            <v/>
          </cell>
          <cell r="B50" t="str">
            <v/>
          </cell>
          <cell r="H50" t="str">
            <v/>
          </cell>
          <cell r="K50" t="str">
            <v/>
          </cell>
          <cell r="N50" t="str">
            <v/>
          </cell>
        </row>
        <row r="52">
          <cell r="B52" t="str">
            <v/>
          </cell>
          <cell r="K52" t="str">
            <v>zwycięzca(cy): 21:5,21:3</v>
          </cell>
        </row>
        <row r="53">
          <cell r="B53">
            <v>8</v>
          </cell>
          <cell r="C53" t="str">
            <v>dzień turnieju.</v>
          </cell>
          <cell r="I53" t="str">
            <v>Nr meczu</v>
          </cell>
          <cell r="N53" t="str">
            <v>Godz.</v>
          </cell>
          <cell r="R53" t="str">
            <v>S. prow.</v>
          </cell>
          <cell r="AF53" t="str">
            <v>wygrany</v>
          </cell>
          <cell r="AG53" t="str">
            <v>przegrany</v>
          </cell>
        </row>
        <row r="54">
          <cell r="B54" t="str">
            <v>Boisko</v>
          </cell>
          <cell r="C54" t="str">
            <v>Gra</v>
          </cell>
          <cell r="I54">
            <v>8</v>
          </cell>
          <cell r="N54" t="str">
            <v>rozp.</v>
          </cell>
          <cell r="P54" t="str">
            <v>zak.</v>
          </cell>
          <cell r="R54" t="str">
            <v>S. serw.</v>
          </cell>
        </row>
        <row r="55">
          <cell r="A55">
            <v>8</v>
          </cell>
          <cell r="C55" t="str">
            <v>Runners Up</v>
          </cell>
          <cell r="H55">
            <v>21</v>
          </cell>
          <cell r="I55">
            <v>10</v>
          </cell>
          <cell r="J55">
            <v>21</v>
          </cell>
          <cell r="K55">
            <v>14</v>
          </cell>
          <cell r="R55">
            <v>0</v>
          </cell>
          <cell r="S55" t="str">
            <v>godz.9:20</v>
          </cell>
          <cell r="X55">
            <v>8</v>
          </cell>
          <cell r="Y55" t="str">
            <v>Runners Up</v>
          </cell>
          <cell r="Z55" t="str">
            <v>S0033</v>
          </cell>
          <cell r="AA55" t="str">
            <v/>
          </cell>
          <cell r="AB55" t="str">
            <v>W0012</v>
          </cell>
          <cell r="AC55" t="str">
            <v/>
          </cell>
          <cell r="AD55" t="str">
            <v>S0033</v>
          </cell>
          <cell r="AE55" t="str">
            <v/>
          </cell>
          <cell r="AF55" t="str">
            <v>21:10,21:14</v>
          </cell>
          <cell r="AG55" t="str">
            <v>10:21,14:21</v>
          </cell>
          <cell r="AH55" t="str">
            <v/>
          </cell>
          <cell r="AI55">
            <v>21</v>
          </cell>
          <cell r="AJ55">
            <v>10</v>
          </cell>
          <cell r="AK55">
            <v>21</v>
          </cell>
          <cell r="AL55">
            <v>14</v>
          </cell>
          <cell r="AM55">
            <v>0</v>
          </cell>
          <cell r="AN55">
            <v>0</v>
          </cell>
        </row>
        <row r="56">
          <cell r="A56" t="str">
            <v/>
          </cell>
          <cell r="B56" t="str">
            <v>Mikołaj STRAŻ (Mielec)</v>
          </cell>
          <cell r="H56" t="str">
            <v>S0033</v>
          </cell>
          <cell r="K56" t="str">
            <v>W0012</v>
          </cell>
          <cell r="N56" t="str">
            <v>Tomasz WYDRO (Mielec)</v>
          </cell>
        </row>
        <row r="57">
          <cell r="A57" t="str">
            <v/>
          </cell>
          <cell r="B57" t="str">
            <v/>
          </cell>
          <cell r="H57" t="str">
            <v/>
          </cell>
          <cell r="K57" t="str">
            <v/>
          </cell>
          <cell r="N57" t="str">
            <v/>
          </cell>
        </row>
        <row r="59">
          <cell r="B59" t="str">
            <v>zwycięzca(cy): 21:10,21:14</v>
          </cell>
          <cell r="K59" t="str">
            <v/>
          </cell>
        </row>
        <row r="60">
          <cell r="B60">
            <v>9</v>
          </cell>
          <cell r="C60" t="str">
            <v>dzień turnieju.</v>
          </cell>
          <cell r="I60" t="str">
            <v>Nr meczu</v>
          </cell>
          <cell r="N60" t="str">
            <v>Godz.</v>
          </cell>
          <cell r="R60" t="str">
            <v>S. prow.</v>
          </cell>
          <cell r="AF60" t="str">
            <v>wygrany</v>
          </cell>
          <cell r="AG60" t="str">
            <v>przegrany</v>
          </cell>
        </row>
        <row r="61">
          <cell r="B61" t="str">
            <v>Boisko</v>
          </cell>
          <cell r="C61" t="str">
            <v>Gra</v>
          </cell>
          <cell r="I61">
            <v>9</v>
          </cell>
          <cell r="N61" t="str">
            <v>rozp.</v>
          </cell>
          <cell r="P61" t="str">
            <v>zak.</v>
          </cell>
          <cell r="R61" t="str">
            <v>S. serw.</v>
          </cell>
        </row>
        <row r="62">
          <cell r="A62">
            <v>9</v>
          </cell>
          <cell r="C62" t="str">
            <v>Runners Up</v>
          </cell>
          <cell r="H62">
            <v>6</v>
          </cell>
          <cell r="I62">
            <v>21</v>
          </cell>
          <cell r="J62">
            <v>5</v>
          </cell>
          <cell r="K62">
            <v>21</v>
          </cell>
          <cell r="R62">
            <v>0</v>
          </cell>
          <cell r="S62" t="str">
            <v>godz.9:40</v>
          </cell>
          <cell r="X62">
            <v>9</v>
          </cell>
          <cell r="Y62" t="str">
            <v>Runners Up</v>
          </cell>
          <cell r="Z62" t="str">
            <v>S0034</v>
          </cell>
          <cell r="AA62" t="str">
            <v/>
          </cell>
          <cell r="AB62" t="str">
            <v>B0015</v>
          </cell>
          <cell r="AC62" t="str">
            <v/>
          </cell>
          <cell r="AD62" t="str">
            <v>B0015</v>
          </cell>
          <cell r="AE62" t="str">
            <v/>
          </cell>
          <cell r="AF62" t="str">
            <v>21:6,21:5</v>
          </cell>
          <cell r="AG62" t="str">
            <v>6:21,5:21</v>
          </cell>
          <cell r="AH62" t="str">
            <v/>
          </cell>
          <cell r="AI62">
            <v>6</v>
          </cell>
          <cell r="AJ62">
            <v>21</v>
          </cell>
          <cell r="AK62">
            <v>5</v>
          </cell>
          <cell r="AL62">
            <v>21</v>
          </cell>
          <cell r="AM62">
            <v>0</v>
          </cell>
          <cell r="AN62">
            <v>0</v>
          </cell>
        </row>
        <row r="63">
          <cell r="A63" t="str">
            <v/>
          </cell>
          <cell r="B63" t="str">
            <v>Jakub SITEK (Rzeszów)</v>
          </cell>
          <cell r="H63" t="str">
            <v>S0034</v>
          </cell>
          <cell r="K63" t="str">
            <v>B0015</v>
          </cell>
          <cell r="N63" t="str">
            <v>Tomasz BARAN (Krosno)</v>
          </cell>
        </row>
        <row r="64">
          <cell r="A64" t="str">
            <v/>
          </cell>
          <cell r="B64" t="str">
            <v/>
          </cell>
          <cell r="H64" t="str">
            <v/>
          </cell>
          <cell r="K64" t="str">
            <v/>
          </cell>
          <cell r="N64" t="str">
            <v/>
          </cell>
        </row>
        <row r="66">
          <cell r="B66" t="str">
            <v/>
          </cell>
          <cell r="K66" t="str">
            <v>zwycięzca(cy): 21:6,21:5</v>
          </cell>
        </row>
        <row r="67">
          <cell r="B67">
            <v>10</v>
          </cell>
          <cell r="C67" t="str">
            <v>dzień turnieju.</v>
          </cell>
          <cell r="I67" t="str">
            <v>Nr meczu</v>
          </cell>
          <cell r="N67" t="str">
            <v>Godz.</v>
          </cell>
          <cell r="R67" t="str">
            <v>S. prow.</v>
          </cell>
          <cell r="AF67" t="str">
            <v>wygrany</v>
          </cell>
          <cell r="AG67" t="str">
            <v>przegrany</v>
          </cell>
        </row>
        <row r="68">
          <cell r="B68" t="str">
            <v>Boisko</v>
          </cell>
          <cell r="C68" t="str">
            <v>Gra</v>
          </cell>
          <cell r="I68">
            <v>10</v>
          </cell>
          <cell r="N68" t="str">
            <v>rozp.</v>
          </cell>
          <cell r="P68" t="str">
            <v>zak.</v>
          </cell>
          <cell r="R68" t="str">
            <v>S. serw.</v>
          </cell>
        </row>
        <row r="69">
          <cell r="A69">
            <v>10</v>
          </cell>
          <cell r="C69" t="str">
            <v>Runners Up</v>
          </cell>
          <cell r="H69">
            <v>0</v>
          </cell>
          <cell r="I69">
            <v>21</v>
          </cell>
          <cell r="J69">
            <v>4</v>
          </cell>
          <cell r="K69">
            <v>21</v>
          </cell>
          <cell r="R69">
            <v>0</v>
          </cell>
          <cell r="S69" t="str">
            <v>godz.9:40</v>
          </cell>
          <cell r="X69">
            <v>10</v>
          </cell>
          <cell r="Y69" t="str">
            <v>Runners Up</v>
          </cell>
          <cell r="Z69" t="str">
            <v>M0026</v>
          </cell>
          <cell r="AA69" t="str">
            <v/>
          </cell>
          <cell r="AB69" t="str">
            <v>M0023</v>
          </cell>
          <cell r="AC69" t="str">
            <v/>
          </cell>
          <cell r="AD69" t="str">
            <v>M0023</v>
          </cell>
          <cell r="AE69" t="str">
            <v/>
          </cell>
          <cell r="AF69" t="str">
            <v>21:0,21:4</v>
          </cell>
          <cell r="AG69" t="str">
            <v>0:21,4:21</v>
          </cell>
          <cell r="AH69" t="str">
            <v/>
          </cell>
          <cell r="AI69">
            <v>0</v>
          </cell>
          <cell r="AJ69">
            <v>21</v>
          </cell>
          <cell r="AK69">
            <v>4</v>
          </cell>
          <cell r="AL69">
            <v>21</v>
          </cell>
          <cell r="AM69">
            <v>0</v>
          </cell>
          <cell r="AN69">
            <v>0</v>
          </cell>
        </row>
        <row r="70">
          <cell r="A70" t="str">
            <v/>
          </cell>
          <cell r="B70" t="str">
            <v>Wojciech MACHAJ (Mielec)</v>
          </cell>
          <cell r="H70" t="str">
            <v>M0026</v>
          </cell>
          <cell r="K70" t="str">
            <v>M0023</v>
          </cell>
          <cell r="N70" t="str">
            <v>Tymoteusz MALIK (Tarnobrzeg)</v>
          </cell>
        </row>
        <row r="71">
          <cell r="A71" t="str">
            <v/>
          </cell>
          <cell r="B71" t="str">
            <v/>
          </cell>
          <cell r="H71" t="str">
            <v/>
          </cell>
          <cell r="K71" t="str">
            <v/>
          </cell>
          <cell r="N71" t="str">
            <v/>
          </cell>
        </row>
        <row r="73">
          <cell r="B73" t="str">
            <v/>
          </cell>
          <cell r="K73" t="str">
            <v>zwycięzca(cy): 21:0,21:4</v>
          </cell>
        </row>
        <row r="74">
          <cell r="B74">
            <v>11</v>
          </cell>
          <cell r="C74" t="str">
            <v>dzień turnieju.</v>
          </cell>
          <cell r="I74" t="str">
            <v>Nr meczu</v>
          </cell>
          <cell r="N74" t="str">
            <v>Godz.</v>
          </cell>
          <cell r="R74" t="str">
            <v>S. prow.</v>
          </cell>
          <cell r="AF74" t="str">
            <v>wygrany</v>
          </cell>
          <cell r="AG74" t="str">
            <v>przegrany</v>
          </cell>
        </row>
        <row r="75">
          <cell r="B75" t="str">
            <v>Boisko</v>
          </cell>
          <cell r="C75" t="str">
            <v>Gra</v>
          </cell>
          <cell r="I75">
            <v>11</v>
          </cell>
          <cell r="N75" t="str">
            <v>rozp.</v>
          </cell>
          <cell r="P75" t="str">
            <v>zak.</v>
          </cell>
          <cell r="R75" t="str">
            <v>S. serw.</v>
          </cell>
        </row>
        <row r="76">
          <cell r="A76">
            <v>11</v>
          </cell>
          <cell r="C76" t="str">
            <v>Runners Up</v>
          </cell>
          <cell r="H76">
            <v>21</v>
          </cell>
          <cell r="I76">
            <v>13</v>
          </cell>
          <cell r="J76">
            <v>21</v>
          </cell>
          <cell r="K76">
            <v>13</v>
          </cell>
          <cell r="R76">
            <v>0</v>
          </cell>
          <cell r="S76" t="str">
            <v>godz.9:40</v>
          </cell>
          <cell r="X76">
            <v>11</v>
          </cell>
          <cell r="Y76" t="str">
            <v>Runners Up</v>
          </cell>
          <cell r="Z76" t="str">
            <v>N0002</v>
          </cell>
          <cell r="AA76" t="str">
            <v/>
          </cell>
          <cell r="AB76" t="str">
            <v>P0022</v>
          </cell>
          <cell r="AC76" t="str">
            <v/>
          </cell>
          <cell r="AD76" t="str">
            <v>N0002</v>
          </cell>
          <cell r="AE76" t="str">
            <v/>
          </cell>
          <cell r="AF76" t="str">
            <v>21:13,21:13</v>
          </cell>
          <cell r="AG76" t="str">
            <v>13:21,13:21</v>
          </cell>
          <cell r="AH76" t="str">
            <v/>
          </cell>
          <cell r="AI76">
            <v>21</v>
          </cell>
          <cell r="AJ76">
            <v>13</v>
          </cell>
          <cell r="AK76">
            <v>21</v>
          </cell>
          <cell r="AL76">
            <v>13</v>
          </cell>
          <cell r="AM76">
            <v>0</v>
          </cell>
          <cell r="AN76">
            <v>0</v>
          </cell>
        </row>
        <row r="77">
          <cell r="A77" t="str">
            <v/>
          </cell>
          <cell r="B77" t="str">
            <v>Robert NOWAK (Mielec)</v>
          </cell>
          <cell r="H77" t="str">
            <v>N0002</v>
          </cell>
          <cell r="K77" t="str">
            <v>P0022</v>
          </cell>
          <cell r="N77" t="str">
            <v>Mateusz POTOCKI (Krosno)</v>
          </cell>
        </row>
        <row r="78">
          <cell r="A78" t="str">
            <v/>
          </cell>
          <cell r="B78" t="str">
            <v/>
          </cell>
          <cell r="H78" t="str">
            <v/>
          </cell>
          <cell r="K78" t="str">
            <v/>
          </cell>
          <cell r="N78" t="str">
            <v/>
          </cell>
        </row>
        <row r="80">
          <cell r="B80" t="str">
            <v>zwycięzca(cy): 21:13,21:13</v>
          </cell>
          <cell r="K80" t="str">
            <v/>
          </cell>
        </row>
        <row r="81">
          <cell r="B81">
            <v>12</v>
          </cell>
          <cell r="C81" t="str">
            <v>dzień turnieju.</v>
          </cell>
          <cell r="I81" t="str">
            <v>Nr meczu</v>
          </cell>
          <cell r="N81" t="str">
            <v>Godz.</v>
          </cell>
          <cell r="R81" t="str">
            <v>S. prow.</v>
          </cell>
          <cell r="AF81" t="str">
            <v>wygrany</v>
          </cell>
          <cell r="AG81" t="str">
            <v>przegrany</v>
          </cell>
        </row>
        <row r="82">
          <cell r="B82" t="str">
            <v>Boisko</v>
          </cell>
          <cell r="C82" t="str">
            <v>Gra</v>
          </cell>
          <cell r="I82">
            <v>12</v>
          </cell>
          <cell r="N82" t="str">
            <v>rozp.</v>
          </cell>
          <cell r="P82" t="str">
            <v>zak.</v>
          </cell>
          <cell r="R82" t="str">
            <v>S. serw.</v>
          </cell>
        </row>
        <row r="83">
          <cell r="A83">
            <v>12</v>
          </cell>
          <cell r="C83" t="str">
            <v>Runners Up</v>
          </cell>
          <cell r="H83">
            <v>21</v>
          </cell>
          <cell r="I83">
            <v>13</v>
          </cell>
          <cell r="J83">
            <v>21</v>
          </cell>
          <cell r="K83">
            <v>9</v>
          </cell>
          <cell r="R83">
            <v>0</v>
          </cell>
          <cell r="S83" t="str">
            <v>godz.9:40</v>
          </cell>
          <cell r="X83">
            <v>12</v>
          </cell>
          <cell r="Y83" t="str">
            <v>Runners Up</v>
          </cell>
          <cell r="Z83" t="str">
            <v>S0029</v>
          </cell>
          <cell r="AA83" t="str">
            <v/>
          </cell>
          <cell r="AB83" t="str">
            <v>P0021</v>
          </cell>
          <cell r="AC83" t="str">
            <v/>
          </cell>
          <cell r="AD83" t="str">
            <v>S0029</v>
          </cell>
          <cell r="AE83" t="str">
            <v/>
          </cell>
          <cell r="AF83" t="str">
            <v>21:13,21:9</v>
          </cell>
          <cell r="AG83" t="str">
            <v>13:21,9:21</v>
          </cell>
          <cell r="AH83" t="str">
            <v/>
          </cell>
          <cell r="AI83">
            <v>21</v>
          </cell>
          <cell r="AJ83">
            <v>13</v>
          </cell>
          <cell r="AK83">
            <v>21</v>
          </cell>
          <cell r="AL83">
            <v>9</v>
          </cell>
          <cell r="AM83">
            <v>0</v>
          </cell>
          <cell r="AN83">
            <v>0</v>
          </cell>
        </row>
        <row r="84">
          <cell r="A84" t="str">
            <v/>
          </cell>
          <cell r="B84" t="str">
            <v>Patryk STOLARZ (Mielec)</v>
          </cell>
          <cell r="H84" t="str">
            <v>S0029</v>
          </cell>
          <cell r="K84" t="str">
            <v>P0021</v>
          </cell>
          <cell r="N84" t="str">
            <v>Mikołaj POLAŃSKI (Rzeszów)</v>
          </cell>
        </row>
        <row r="85">
          <cell r="A85" t="str">
            <v/>
          </cell>
          <cell r="B85" t="str">
            <v/>
          </cell>
          <cell r="H85" t="str">
            <v/>
          </cell>
          <cell r="K85" t="str">
            <v/>
          </cell>
          <cell r="N85" t="str">
            <v/>
          </cell>
        </row>
        <row r="87">
          <cell r="B87" t="str">
            <v>zwycięzca(cy): 21:13,21:9</v>
          </cell>
          <cell r="K87" t="str">
            <v/>
          </cell>
        </row>
        <row r="88">
          <cell r="B88">
            <v>13</v>
          </cell>
          <cell r="C88" t="str">
            <v>dzień turnieju.</v>
          </cell>
          <cell r="I88" t="str">
            <v>Nr meczu</v>
          </cell>
          <cell r="N88" t="str">
            <v>Godz.</v>
          </cell>
          <cell r="R88" t="str">
            <v>S. prow.</v>
          </cell>
          <cell r="AF88" t="str">
            <v>wygrany</v>
          </cell>
          <cell r="AG88" t="str">
            <v>przegrany</v>
          </cell>
        </row>
        <row r="89">
          <cell r="B89" t="str">
            <v>Boisko</v>
          </cell>
          <cell r="C89" t="str">
            <v>Gra</v>
          </cell>
          <cell r="I89">
            <v>13</v>
          </cell>
          <cell r="N89" t="str">
            <v>rozp.</v>
          </cell>
          <cell r="P89" t="str">
            <v>zak.</v>
          </cell>
          <cell r="R89" t="str">
            <v>S. serw.</v>
          </cell>
        </row>
        <row r="90">
          <cell r="A90">
            <v>13</v>
          </cell>
          <cell r="C90" t="str">
            <v>Runners Up</v>
          </cell>
          <cell r="H90">
            <v>21</v>
          </cell>
          <cell r="I90">
            <v>6</v>
          </cell>
          <cell r="J90">
            <v>21</v>
          </cell>
          <cell r="K90">
            <v>10</v>
          </cell>
          <cell r="R90">
            <v>0</v>
          </cell>
          <cell r="S90" t="str">
            <v>godz.10:00</v>
          </cell>
          <cell r="X90">
            <v>13</v>
          </cell>
          <cell r="Y90" t="str">
            <v>Runners Up</v>
          </cell>
          <cell r="Z90" t="str">
            <v>K0012</v>
          </cell>
          <cell r="AA90" t="str">
            <v/>
          </cell>
          <cell r="AB90" t="str">
            <v>W0012</v>
          </cell>
          <cell r="AC90" t="str">
            <v/>
          </cell>
          <cell r="AD90" t="str">
            <v>K0012</v>
          </cell>
          <cell r="AE90" t="str">
            <v/>
          </cell>
          <cell r="AF90" t="str">
            <v>21:6,21:10</v>
          </cell>
          <cell r="AG90" t="str">
            <v>6:21,10:21</v>
          </cell>
          <cell r="AH90" t="str">
            <v/>
          </cell>
          <cell r="AI90">
            <v>21</v>
          </cell>
          <cell r="AJ90">
            <v>6</v>
          </cell>
          <cell r="AK90">
            <v>21</v>
          </cell>
          <cell r="AL90">
            <v>10</v>
          </cell>
          <cell r="AM90">
            <v>0</v>
          </cell>
          <cell r="AN90">
            <v>0</v>
          </cell>
        </row>
        <row r="91">
          <cell r="A91" t="str">
            <v/>
          </cell>
          <cell r="B91" t="str">
            <v>Piotr KOTERBA (Rzeszów)</v>
          </cell>
          <cell r="H91" t="str">
            <v>K0012</v>
          </cell>
          <cell r="K91" t="str">
            <v>W0012</v>
          </cell>
          <cell r="N91" t="str">
            <v>Tomasz WYDRO (Mielec)</v>
          </cell>
        </row>
        <row r="92">
          <cell r="A92" t="str">
            <v/>
          </cell>
          <cell r="B92" t="str">
            <v/>
          </cell>
          <cell r="H92" t="str">
            <v/>
          </cell>
          <cell r="K92" t="str">
            <v/>
          </cell>
          <cell r="N92" t="str">
            <v/>
          </cell>
        </row>
        <row r="94">
          <cell r="B94" t="str">
            <v>zwycięzca(cy): 21:6,21:10</v>
          </cell>
          <cell r="K94" t="str">
            <v/>
          </cell>
        </row>
        <row r="95">
          <cell r="B95">
            <v>14</v>
          </cell>
          <cell r="C95" t="str">
            <v>dzień turnieju.</v>
          </cell>
          <cell r="I95" t="str">
            <v>Nr meczu</v>
          </cell>
          <cell r="N95" t="str">
            <v>Godz.</v>
          </cell>
          <cell r="R95" t="str">
            <v>S. prow.</v>
          </cell>
          <cell r="AF95" t="str">
            <v>wygrany</v>
          </cell>
          <cell r="AG95" t="str">
            <v>przegrany</v>
          </cell>
        </row>
        <row r="96">
          <cell r="B96" t="str">
            <v>Boisko</v>
          </cell>
          <cell r="C96" t="str">
            <v>Gra</v>
          </cell>
          <cell r="I96">
            <v>14</v>
          </cell>
          <cell r="N96" t="str">
            <v>rozp.</v>
          </cell>
          <cell r="P96" t="str">
            <v>zak.</v>
          </cell>
          <cell r="R96" t="str">
            <v>S. serw.</v>
          </cell>
        </row>
        <row r="97">
          <cell r="A97">
            <v>14</v>
          </cell>
          <cell r="C97" t="str">
            <v>Runners Up</v>
          </cell>
          <cell r="H97">
            <v>21</v>
          </cell>
          <cell r="I97">
            <v>11</v>
          </cell>
          <cell r="J97">
            <v>21</v>
          </cell>
          <cell r="K97">
            <v>7</v>
          </cell>
          <cell r="R97">
            <v>0</v>
          </cell>
          <cell r="S97" t="str">
            <v>godz.10:00</v>
          </cell>
          <cell r="X97">
            <v>14</v>
          </cell>
          <cell r="Y97" t="str">
            <v>Runners Up</v>
          </cell>
          <cell r="Z97" t="str">
            <v>S0020</v>
          </cell>
          <cell r="AA97" t="str">
            <v/>
          </cell>
          <cell r="AB97" t="str">
            <v>S0034</v>
          </cell>
          <cell r="AC97" t="str">
            <v/>
          </cell>
          <cell r="AD97" t="str">
            <v>S0020</v>
          </cell>
          <cell r="AE97" t="str">
            <v/>
          </cell>
          <cell r="AF97" t="str">
            <v>21:11,21:7</v>
          </cell>
          <cell r="AG97" t="str">
            <v>11:21,7:21</v>
          </cell>
          <cell r="AH97" t="str">
            <v/>
          </cell>
          <cell r="AI97">
            <v>21</v>
          </cell>
          <cell r="AJ97">
            <v>11</v>
          </cell>
          <cell r="AK97">
            <v>21</v>
          </cell>
          <cell r="AL97">
            <v>7</v>
          </cell>
          <cell r="AM97">
            <v>0</v>
          </cell>
          <cell r="AN97">
            <v>0</v>
          </cell>
        </row>
        <row r="98">
          <cell r="A98" t="str">
            <v/>
          </cell>
          <cell r="B98" t="str">
            <v>Mariusz SŁOMBA (Mielec)</v>
          </cell>
          <cell r="H98" t="str">
            <v>S0020</v>
          </cell>
          <cell r="K98" t="str">
            <v>S0034</v>
          </cell>
          <cell r="N98" t="str">
            <v>Jakub SITEK (Rzeszów)</v>
          </cell>
        </row>
        <row r="99">
          <cell r="A99" t="str">
            <v/>
          </cell>
          <cell r="B99" t="str">
            <v/>
          </cell>
          <cell r="H99" t="str">
            <v/>
          </cell>
          <cell r="K99" t="str">
            <v/>
          </cell>
          <cell r="N99" t="str">
            <v/>
          </cell>
        </row>
        <row r="101">
          <cell r="B101" t="str">
            <v>zwycięzca(cy): 21:11,21:7</v>
          </cell>
          <cell r="K101" t="str">
            <v/>
          </cell>
        </row>
        <row r="102">
          <cell r="B102">
            <v>15</v>
          </cell>
          <cell r="C102" t="str">
            <v>dzień turnieju.</v>
          </cell>
          <cell r="I102" t="str">
            <v>Nr meczu</v>
          </cell>
          <cell r="N102" t="str">
            <v>Godz.</v>
          </cell>
          <cell r="R102" t="str">
            <v>S. prow.</v>
          </cell>
          <cell r="AF102" t="str">
            <v>wygrany</v>
          </cell>
          <cell r="AG102" t="str">
            <v>przegrany</v>
          </cell>
        </row>
        <row r="103">
          <cell r="B103" t="str">
            <v>Boisko</v>
          </cell>
          <cell r="C103" t="str">
            <v>Gra</v>
          </cell>
          <cell r="I103">
            <v>15</v>
          </cell>
          <cell r="N103" t="str">
            <v>rozp.</v>
          </cell>
          <cell r="P103" t="str">
            <v>zak.</v>
          </cell>
          <cell r="R103" t="str">
            <v>S. serw.</v>
          </cell>
        </row>
        <row r="104">
          <cell r="A104">
            <v>15</v>
          </cell>
          <cell r="C104" t="str">
            <v>Runners Up</v>
          </cell>
          <cell r="H104">
            <v>21</v>
          </cell>
          <cell r="I104">
            <v>4</v>
          </cell>
          <cell r="J104">
            <v>21</v>
          </cell>
          <cell r="K104">
            <v>7</v>
          </cell>
          <cell r="R104">
            <v>0</v>
          </cell>
          <cell r="S104" t="str">
            <v>godz.10:00</v>
          </cell>
          <cell r="X104">
            <v>15</v>
          </cell>
          <cell r="Y104" t="str">
            <v>Runners Up</v>
          </cell>
          <cell r="Z104" t="str">
            <v>M0008</v>
          </cell>
          <cell r="AA104" t="str">
            <v/>
          </cell>
          <cell r="AB104" t="str">
            <v>M0026</v>
          </cell>
          <cell r="AC104" t="str">
            <v/>
          </cell>
          <cell r="AD104" t="str">
            <v>M0008</v>
          </cell>
          <cell r="AE104" t="str">
            <v/>
          </cell>
          <cell r="AF104" t="str">
            <v>21:4,21:7</v>
          </cell>
          <cell r="AG104" t="str">
            <v>4:21,7:21</v>
          </cell>
          <cell r="AH104" t="str">
            <v/>
          </cell>
          <cell r="AI104">
            <v>21</v>
          </cell>
          <cell r="AJ104">
            <v>4</v>
          </cell>
          <cell r="AK104">
            <v>21</v>
          </cell>
          <cell r="AL104">
            <v>7</v>
          </cell>
          <cell r="AM104">
            <v>0</v>
          </cell>
          <cell r="AN104">
            <v>0</v>
          </cell>
        </row>
        <row r="105">
          <cell r="A105" t="str">
            <v/>
          </cell>
          <cell r="B105" t="str">
            <v>Tadeusz MICHALIK (Tarnów)</v>
          </cell>
          <cell r="H105" t="str">
            <v>M0008</v>
          </cell>
          <cell r="K105" t="str">
            <v>M0026</v>
          </cell>
          <cell r="N105" t="str">
            <v>Wojciech MACHAJ (Mielec)</v>
          </cell>
        </row>
        <row r="106">
          <cell r="A106" t="str">
            <v/>
          </cell>
          <cell r="B106" t="str">
            <v/>
          </cell>
          <cell r="H106" t="str">
            <v/>
          </cell>
          <cell r="K106" t="str">
            <v/>
          </cell>
          <cell r="N106" t="str">
            <v/>
          </cell>
        </row>
        <row r="108">
          <cell r="B108" t="str">
            <v>zwycięzca(cy): 21:4,21:7</v>
          </cell>
          <cell r="K108" t="str">
            <v/>
          </cell>
        </row>
        <row r="109">
          <cell r="B109">
            <v>16</v>
          </cell>
          <cell r="C109" t="str">
            <v>dzień turnieju.</v>
          </cell>
          <cell r="I109" t="str">
            <v>Nr meczu</v>
          </cell>
          <cell r="N109" t="str">
            <v>Godz.</v>
          </cell>
          <cell r="R109" t="str">
            <v>S. prow.</v>
          </cell>
          <cell r="AF109" t="str">
            <v>wygrany</v>
          </cell>
          <cell r="AG109" t="str">
            <v>przegrany</v>
          </cell>
        </row>
        <row r="110">
          <cell r="B110" t="str">
            <v>Boisko</v>
          </cell>
          <cell r="C110" t="str">
            <v>Gra</v>
          </cell>
          <cell r="I110">
            <v>16</v>
          </cell>
          <cell r="N110" t="str">
            <v>rozp.</v>
          </cell>
          <cell r="P110" t="str">
            <v>zak.</v>
          </cell>
          <cell r="R110" t="str">
            <v>S. serw.</v>
          </cell>
        </row>
        <row r="111">
          <cell r="A111">
            <v>16</v>
          </cell>
          <cell r="C111" t="str">
            <v>Runners Up</v>
          </cell>
          <cell r="H111">
            <v>21</v>
          </cell>
          <cell r="I111">
            <v>7</v>
          </cell>
          <cell r="J111">
            <v>21</v>
          </cell>
          <cell r="K111">
            <v>5</v>
          </cell>
          <cell r="R111">
            <v>0</v>
          </cell>
          <cell r="S111" t="str">
            <v>godz.10:00</v>
          </cell>
          <cell r="X111">
            <v>16</v>
          </cell>
          <cell r="Y111" t="str">
            <v>Runners Up</v>
          </cell>
          <cell r="Z111" t="str">
            <v>M0008</v>
          </cell>
          <cell r="AA111" t="str">
            <v/>
          </cell>
          <cell r="AB111" t="str">
            <v>B0015</v>
          </cell>
          <cell r="AC111" t="str">
            <v/>
          </cell>
          <cell r="AD111" t="str">
            <v>M0008</v>
          </cell>
          <cell r="AE111" t="str">
            <v/>
          </cell>
          <cell r="AF111" t="str">
            <v>21:7,21:5</v>
          </cell>
          <cell r="AG111" t="str">
            <v>7:21,5:21</v>
          </cell>
          <cell r="AH111" t="str">
            <v/>
          </cell>
          <cell r="AI111">
            <v>21</v>
          </cell>
          <cell r="AJ111">
            <v>7</v>
          </cell>
          <cell r="AK111">
            <v>21</v>
          </cell>
          <cell r="AL111">
            <v>5</v>
          </cell>
          <cell r="AM111">
            <v>0</v>
          </cell>
          <cell r="AN111">
            <v>0</v>
          </cell>
        </row>
        <row r="112">
          <cell r="A112" t="str">
            <v/>
          </cell>
          <cell r="B112" t="str">
            <v>Tadeusz MICHALIK (Tarnów)</v>
          </cell>
          <cell r="H112" t="str">
            <v>M0008</v>
          </cell>
          <cell r="K112" t="str">
            <v>B0015</v>
          </cell>
          <cell r="N112" t="str">
            <v>Tomasz BARAN (Krosno)</v>
          </cell>
        </row>
        <row r="113">
          <cell r="A113" t="str">
            <v/>
          </cell>
          <cell r="B113" t="str">
            <v/>
          </cell>
          <cell r="H113" t="str">
            <v/>
          </cell>
          <cell r="K113" t="str">
            <v/>
          </cell>
          <cell r="N113" t="str">
            <v/>
          </cell>
        </row>
        <row r="115">
          <cell r="B115" t="str">
            <v>zwycięzca(cy): 21:7,21:5</v>
          </cell>
          <cell r="K115" t="str">
            <v/>
          </cell>
        </row>
        <row r="116">
          <cell r="B116">
            <v>17</v>
          </cell>
          <cell r="C116" t="str">
            <v>dzień turnieju.</v>
          </cell>
          <cell r="I116" t="str">
            <v>Nr meczu</v>
          </cell>
          <cell r="N116" t="str">
            <v>Godz.</v>
          </cell>
          <cell r="R116" t="str">
            <v>S. prow.</v>
          </cell>
          <cell r="AF116" t="str">
            <v>wygrany</v>
          </cell>
          <cell r="AG116" t="str">
            <v>przegrany</v>
          </cell>
        </row>
        <row r="117">
          <cell r="B117" t="str">
            <v>Boisko</v>
          </cell>
          <cell r="C117" t="str">
            <v>Gra</v>
          </cell>
          <cell r="I117">
            <v>17</v>
          </cell>
          <cell r="N117" t="str">
            <v>rozp.</v>
          </cell>
          <cell r="P117" t="str">
            <v>zak.</v>
          </cell>
          <cell r="R117" t="str">
            <v>S. serw.</v>
          </cell>
        </row>
        <row r="118">
          <cell r="A118">
            <v>17</v>
          </cell>
          <cell r="C118" t="str">
            <v>Runners Up</v>
          </cell>
          <cell r="H118">
            <v>19</v>
          </cell>
          <cell r="I118">
            <v>21</v>
          </cell>
          <cell r="J118">
            <v>11</v>
          </cell>
          <cell r="K118">
            <v>21</v>
          </cell>
          <cell r="R118">
            <v>0</v>
          </cell>
          <cell r="S118" t="str">
            <v>godz.10:20</v>
          </cell>
          <cell r="X118">
            <v>17</v>
          </cell>
          <cell r="Y118" t="str">
            <v>Runners Up</v>
          </cell>
          <cell r="Z118" t="str">
            <v>S0033</v>
          </cell>
          <cell r="AA118" t="str">
            <v/>
          </cell>
          <cell r="AB118" t="str">
            <v>B0016</v>
          </cell>
          <cell r="AC118" t="str">
            <v/>
          </cell>
          <cell r="AD118" t="str">
            <v>B0016</v>
          </cell>
          <cell r="AE118" t="str">
            <v/>
          </cell>
          <cell r="AF118" t="str">
            <v>21:19,21:11</v>
          </cell>
          <cell r="AG118" t="str">
            <v>19:21,11:21</v>
          </cell>
          <cell r="AH118" t="str">
            <v/>
          </cell>
          <cell r="AI118">
            <v>19</v>
          </cell>
          <cell r="AJ118">
            <v>21</v>
          </cell>
          <cell r="AK118">
            <v>11</v>
          </cell>
          <cell r="AL118">
            <v>21</v>
          </cell>
          <cell r="AM118">
            <v>0</v>
          </cell>
          <cell r="AN118">
            <v>0</v>
          </cell>
        </row>
        <row r="119">
          <cell r="A119" t="str">
            <v/>
          </cell>
          <cell r="B119" t="str">
            <v>Mikołaj STRAŻ (Mielec)</v>
          </cell>
          <cell r="H119" t="str">
            <v>S0033</v>
          </cell>
          <cell r="K119" t="str">
            <v>B0016</v>
          </cell>
          <cell r="N119" t="str">
            <v>Krzysztof BIELSKI (Krosno)</v>
          </cell>
        </row>
        <row r="120">
          <cell r="A120" t="str">
            <v/>
          </cell>
          <cell r="B120" t="str">
            <v/>
          </cell>
          <cell r="H120" t="str">
            <v/>
          </cell>
          <cell r="K120" t="str">
            <v/>
          </cell>
          <cell r="N120" t="str">
            <v/>
          </cell>
        </row>
        <row r="122">
          <cell r="B122" t="str">
            <v/>
          </cell>
          <cell r="K122" t="str">
            <v>zwycięzca(cy): 21:19,21:11</v>
          </cell>
        </row>
        <row r="123">
          <cell r="B123">
            <v>18</v>
          </cell>
          <cell r="C123" t="str">
            <v>dzień turnieju.</v>
          </cell>
          <cell r="I123" t="str">
            <v>Nr meczu</v>
          </cell>
          <cell r="N123" t="str">
            <v>Godz.</v>
          </cell>
          <cell r="R123" t="str">
            <v>S. prow.</v>
          </cell>
          <cell r="AF123" t="str">
            <v>wygrany</v>
          </cell>
          <cell r="AG123" t="str">
            <v>przegrany</v>
          </cell>
        </row>
        <row r="124">
          <cell r="B124" t="str">
            <v>Boisko</v>
          </cell>
          <cell r="C124" t="str">
            <v>Gra</v>
          </cell>
          <cell r="I124">
            <v>18</v>
          </cell>
          <cell r="N124" t="str">
            <v>rozp.</v>
          </cell>
          <cell r="P124" t="str">
            <v>zak.</v>
          </cell>
          <cell r="R124" t="str">
            <v>S. serw.</v>
          </cell>
        </row>
        <row r="125">
          <cell r="A125">
            <v>18</v>
          </cell>
          <cell r="C125" t="str">
            <v>Runners Up</v>
          </cell>
          <cell r="H125">
            <v>21</v>
          </cell>
          <cell r="I125">
            <v>18</v>
          </cell>
          <cell r="J125">
            <v>22</v>
          </cell>
          <cell r="K125">
            <v>20</v>
          </cell>
          <cell r="R125">
            <v>0</v>
          </cell>
          <cell r="S125" t="str">
            <v>godz.10:20</v>
          </cell>
          <cell r="X125">
            <v>18</v>
          </cell>
          <cell r="Y125" t="str">
            <v>Runners Up</v>
          </cell>
          <cell r="Z125" t="str">
            <v>N0002</v>
          </cell>
          <cell r="AA125" t="str">
            <v/>
          </cell>
          <cell r="AB125" t="str">
            <v>K0012</v>
          </cell>
          <cell r="AC125" t="str">
            <v/>
          </cell>
          <cell r="AD125" t="str">
            <v>N0002</v>
          </cell>
          <cell r="AE125" t="str">
            <v/>
          </cell>
          <cell r="AF125" t="str">
            <v>21:18,22:20</v>
          </cell>
          <cell r="AG125" t="str">
            <v>18:21,20:22</v>
          </cell>
          <cell r="AH125" t="str">
            <v/>
          </cell>
          <cell r="AI125">
            <v>21</v>
          </cell>
          <cell r="AJ125">
            <v>18</v>
          </cell>
          <cell r="AK125">
            <v>22</v>
          </cell>
          <cell r="AL125">
            <v>20</v>
          </cell>
          <cell r="AM125">
            <v>0</v>
          </cell>
          <cell r="AN125">
            <v>0</v>
          </cell>
        </row>
        <row r="126">
          <cell r="A126" t="str">
            <v/>
          </cell>
          <cell r="B126" t="str">
            <v>Robert NOWAK (Mielec)</v>
          </cell>
          <cell r="H126" t="str">
            <v>N0002</v>
          </cell>
          <cell r="K126" t="str">
            <v>K0012</v>
          </cell>
          <cell r="N126" t="str">
            <v>Piotr KOTERBA (Rzeszów)</v>
          </cell>
        </row>
        <row r="127">
          <cell r="A127" t="str">
            <v/>
          </cell>
          <cell r="B127" t="str">
            <v/>
          </cell>
          <cell r="H127" t="str">
            <v/>
          </cell>
          <cell r="K127" t="str">
            <v/>
          </cell>
          <cell r="N127" t="str">
            <v/>
          </cell>
        </row>
        <row r="129">
          <cell r="B129" t="str">
            <v>zwycięzca(cy): 21:18,22:20</v>
          </cell>
          <cell r="K129" t="str">
            <v/>
          </cell>
        </row>
        <row r="130">
          <cell r="B130">
            <v>19</v>
          </cell>
          <cell r="C130" t="str">
            <v>dzień turnieju.</v>
          </cell>
          <cell r="I130" t="str">
            <v>Nr meczu</v>
          </cell>
          <cell r="N130" t="str">
            <v>Godz.</v>
          </cell>
          <cell r="R130" t="str">
            <v>S. prow.</v>
          </cell>
          <cell r="AF130" t="str">
            <v>wygrany</v>
          </cell>
          <cell r="AG130" t="str">
            <v>przegrany</v>
          </cell>
        </row>
        <row r="131">
          <cell r="B131" t="str">
            <v>Boisko</v>
          </cell>
          <cell r="C131" t="str">
            <v>Gra</v>
          </cell>
          <cell r="I131">
            <v>19</v>
          </cell>
          <cell r="N131" t="str">
            <v>rozp.</v>
          </cell>
          <cell r="P131" t="str">
            <v>zak.</v>
          </cell>
          <cell r="R131" t="str">
            <v>S. serw.</v>
          </cell>
        </row>
        <row r="132">
          <cell r="A132">
            <v>19</v>
          </cell>
          <cell r="C132" t="str">
            <v>Runners Up</v>
          </cell>
          <cell r="H132">
            <v>4</v>
          </cell>
          <cell r="I132">
            <v>21</v>
          </cell>
          <cell r="J132">
            <v>4</v>
          </cell>
          <cell r="K132">
            <v>21</v>
          </cell>
          <cell r="R132">
            <v>0</v>
          </cell>
          <cell r="S132" t="str">
            <v>godz.10:20</v>
          </cell>
          <cell r="X132">
            <v>19</v>
          </cell>
          <cell r="Y132" t="str">
            <v>Runners Up</v>
          </cell>
          <cell r="Z132" t="str">
            <v>S0029</v>
          </cell>
          <cell r="AA132" t="str">
            <v/>
          </cell>
          <cell r="AB132" t="str">
            <v>M0008</v>
          </cell>
          <cell r="AC132" t="str">
            <v/>
          </cell>
          <cell r="AD132" t="str">
            <v>M0008</v>
          </cell>
          <cell r="AE132" t="str">
            <v/>
          </cell>
          <cell r="AF132" t="str">
            <v>21:4,21:4</v>
          </cell>
          <cell r="AG132" t="str">
            <v>4:21,4:21</v>
          </cell>
          <cell r="AH132" t="str">
            <v/>
          </cell>
          <cell r="AI132">
            <v>4</v>
          </cell>
          <cell r="AJ132">
            <v>21</v>
          </cell>
          <cell r="AK132">
            <v>4</v>
          </cell>
          <cell r="AL132">
            <v>21</v>
          </cell>
          <cell r="AM132">
            <v>0</v>
          </cell>
          <cell r="AN132">
            <v>0</v>
          </cell>
        </row>
        <row r="133">
          <cell r="A133" t="str">
            <v/>
          </cell>
          <cell r="B133" t="str">
            <v>Patryk STOLARZ (Mielec)</v>
          </cell>
          <cell r="H133" t="str">
            <v>S0029</v>
          </cell>
          <cell r="K133" t="str">
            <v>M0008</v>
          </cell>
          <cell r="N133" t="str">
            <v>Tadeusz MICHALIK (Tarnów)</v>
          </cell>
        </row>
        <row r="134">
          <cell r="A134" t="str">
            <v/>
          </cell>
          <cell r="B134" t="str">
            <v/>
          </cell>
          <cell r="H134" t="str">
            <v/>
          </cell>
          <cell r="K134" t="str">
            <v/>
          </cell>
          <cell r="N134" t="str">
            <v/>
          </cell>
        </row>
        <row r="136">
          <cell r="B136" t="str">
            <v/>
          </cell>
          <cell r="K136" t="str">
            <v>zwycięzca(cy): 21:4,21:4</v>
          </cell>
        </row>
        <row r="137">
          <cell r="B137">
            <v>20</v>
          </cell>
          <cell r="C137" t="str">
            <v>dzień turnieju.</v>
          </cell>
          <cell r="I137" t="str">
            <v>Nr meczu</v>
          </cell>
          <cell r="N137" t="str">
            <v>Godz.</v>
          </cell>
          <cell r="R137" t="str">
            <v>S. prow.</v>
          </cell>
          <cell r="AF137" t="str">
            <v>wygrany</v>
          </cell>
          <cell r="AG137" t="str">
            <v>przegrany</v>
          </cell>
        </row>
        <row r="138">
          <cell r="B138" t="str">
            <v>Boisko</v>
          </cell>
          <cell r="C138" t="str">
            <v>Gra</v>
          </cell>
          <cell r="I138">
            <v>20</v>
          </cell>
          <cell r="N138" t="str">
            <v>rozp.</v>
          </cell>
          <cell r="P138" t="str">
            <v>zak.</v>
          </cell>
          <cell r="R138" t="str">
            <v>S. serw.</v>
          </cell>
        </row>
        <row r="139">
          <cell r="A139">
            <v>20</v>
          </cell>
          <cell r="C139" t="str">
            <v>Runners Up</v>
          </cell>
          <cell r="H139">
            <v>10</v>
          </cell>
          <cell r="I139">
            <v>21</v>
          </cell>
          <cell r="J139">
            <v>11</v>
          </cell>
          <cell r="K139">
            <v>21</v>
          </cell>
          <cell r="R139">
            <v>0</v>
          </cell>
          <cell r="S139" t="str">
            <v>godz.10:20</v>
          </cell>
          <cell r="X139">
            <v>20</v>
          </cell>
          <cell r="Y139" t="str">
            <v>Runners Up</v>
          </cell>
          <cell r="Z139" t="str">
            <v>B0016</v>
          </cell>
          <cell r="AA139" t="str">
            <v/>
          </cell>
          <cell r="AB139" t="str">
            <v>S0020</v>
          </cell>
          <cell r="AC139" t="str">
            <v/>
          </cell>
          <cell r="AD139" t="str">
            <v>S0020</v>
          </cell>
          <cell r="AE139" t="str">
            <v/>
          </cell>
          <cell r="AF139" t="str">
            <v>21:10,21:11</v>
          </cell>
          <cell r="AG139" t="str">
            <v>10:21,11:21</v>
          </cell>
          <cell r="AH139" t="str">
            <v/>
          </cell>
          <cell r="AI139">
            <v>10</v>
          </cell>
          <cell r="AJ139">
            <v>21</v>
          </cell>
          <cell r="AK139">
            <v>11</v>
          </cell>
          <cell r="AL139">
            <v>21</v>
          </cell>
          <cell r="AM139">
            <v>0</v>
          </cell>
          <cell r="AN139">
            <v>0</v>
          </cell>
        </row>
        <row r="140">
          <cell r="A140" t="str">
            <v/>
          </cell>
          <cell r="B140" t="str">
            <v>Krzysztof BIELSKI (Krosno)</v>
          </cell>
          <cell r="H140" t="str">
            <v>B0016</v>
          </cell>
          <cell r="K140" t="str">
            <v>S0020</v>
          </cell>
          <cell r="N140" t="str">
            <v>Mariusz SŁOMBA (Mielec)</v>
          </cell>
        </row>
        <row r="141">
          <cell r="A141" t="str">
            <v/>
          </cell>
          <cell r="B141" t="str">
            <v/>
          </cell>
          <cell r="H141" t="str">
            <v/>
          </cell>
          <cell r="K141" t="str">
            <v/>
          </cell>
          <cell r="N141" t="str">
            <v/>
          </cell>
        </row>
        <row r="143">
          <cell r="B143" t="str">
            <v/>
          </cell>
          <cell r="K143" t="str">
            <v>zwycięzca(cy): 21:10,21:11</v>
          </cell>
        </row>
        <row r="144">
          <cell r="B144">
            <v>21</v>
          </cell>
          <cell r="C144" t="str">
            <v>dzień turnieju.</v>
          </cell>
          <cell r="I144" t="str">
            <v>Nr meczu</v>
          </cell>
          <cell r="N144" t="str">
            <v>Godz.</v>
          </cell>
          <cell r="R144" t="str">
            <v>S. prow.</v>
          </cell>
          <cell r="AF144" t="str">
            <v>wygrany</v>
          </cell>
          <cell r="AG144" t="str">
            <v>przegrany</v>
          </cell>
        </row>
        <row r="145">
          <cell r="B145" t="str">
            <v>Boisko</v>
          </cell>
          <cell r="C145" t="str">
            <v>Gra</v>
          </cell>
          <cell r="I145">
            <v>21</v>
          </cell>
          <cell r="N145" t="str">
            <v>rozp.</v>
          </cell>
          <cell r="P145" t="str">
            <v>zak.</v>
          </cell>
          <cell r="R145" t="str">
            <v>S. serw.</v>
          </cell>
        </row>
        <row r="146">
          <cell r="A146">
            <v>21</v>
          </cell>
          <cell r="C146" t="str">
            <v>Runners Up</v>
          </cell>
          <cell r="H146">
            <v>15</v>
          </cell>
          <cell r="I146">
            <v>21</v>
          </cell>
          <cell r="J146">
            <v>10</v>
          </cell>
          <cell r="K146">
            <v>21</v>
          </cell>
          <cell r="R146">
            <v>0</v>
          </cell>
          <cell r="S146" t="str">
            <v>godz.10:40</v>
          </cell>
          <cell r="X146">
            <v>21</v>
          </cell>
          <cell r="Y146" t="str">
            <v>Runners Up</v>
          </cell>
          <cell r="Z146" t="str">
            <v>M0005</v>
          </cell>
          <cell r="AA146" t="str">
            <v/>
          </cell>
          <cell r="AB146" t="str">
            <v>M0023</v>
          </cell>
          <cell r="AC146" t="str">
            <v/>
          </cell>
          <cell r="AD146" t="str">
            <v>M0023</v>
          </cell>
          <cell r="AE146" t="str">
            <v/>
          </cell>
          <cell r="AF146" t="str">
            <v>21:15,21:10</v>
          </cell>
          <cell r="AG146" t="str">
            <v>15:21,10:21</v>
          </cell>
          <cell r="AH146" t="str">
            <v/>
          </cell>
          <cell r="AI146">
            <v>15</v>
          </cell>
          <cell r="AJ146">
            <v>21</v>
          </cell>
          <cell r="AK146">
            <v>10</v>
          </cell>
          <cell r="AL146">
            <v>21</v>
          </cell>
          <cell r="AM146">
            <v>0</v>
          </cell>
          <cell r="AN146">
            <v>0</v>
          </cell>
        </row>
        <row r="147">
          <cell r="A147" t="str">
            <v/>
          </cell>
          <cell r="B147" t="str">
            <v>Piotr MALIK (Tarnobrzeg)</v>
          </cell>
          <cell r="H147" t="str">
            <v>M0005</v>
          </cell>
          <cell r="K147" t="str">
            <v>M0023</v>
          </cell>
          <cell r="N147" t="str">
            <v>Tymoteusz MALIK (Tarnobrzeg)</v>
          </cell>
        </row>
        <row r="148">
          <cell r="A148" t="str">
            <v/>
          </cell>
          <cell r="B148" t="str">
            <v/>
          </cell>
          <cell r="H148" t="str">
            <v/>
          </cell>
          <cell r="K148" t="str">
            <v/>
          </cell>
          <cell r="N148" t="str">
            <v/>
          </cell>
        </row>
        <row r="150">
          <cell r="B150" t="str">
            <v/>
          </cell>
          <cell r="K150" t="str">
            <v>zwycięzca(cy): 21:15,21:10</v>
          </cell>
        </row>
        <row r="151">
          <cell r="B151">
            <v>22</v>
          </cell>
          <cell r="C151" t="str">
            <v>dzień turnieju.</v>
          </cell>
          <cell r="I151" t="str">
            <v>Nr meczu</v>
          </cell>
          <cell r="N151" t="str">
            <v>Godz.</v>
          </cell>
          <cell r="R151" t="str">
            <v>S. prow.</v>
          </cell>
          <cell r="AF151" t="str">
            <v>wygrany</v>
          </cell>
          <cell r="AG151" t="str">
            <v>przegrany</v>
          </cell>
        </row>
        <row r="152">
          <cell r="B152" t="str">
            <v>Boisko</v>
          </cell>
          <cell r="C152" t="str">
            <v>Gra</v>
          </cell>
          <cell r="I152">
            <v>22</v>
          </cell>
          <cell r="N152" t="str">
            <v>rozp.</v>
          </cell>
          <cell r="P152" t="str">
            <v>zak.</v>
          </cell>
          <cell r="R152" t="str">
            <v>S. serw.</v>
          </cell>
        </row>
        <row r="153">
          <cell r="A153">
            <v>22</v>
          </cell>
          <cell r="C153" t="str">
            <v>Runners Up</v>
          </cell>
          <cell r="H153">
            <v>21</v>
          </cell>
          <cell r="I153">
            <v>19</v>
          </cell>
          <cell r="J153">
            <v>21</v>
          </cell>
          <cell r="K153">
            <v>14</v>
          </cell>
          <cell r="R153">
            <v>0</v>
          </cell>
          <cell r="S153" t="str">
            <v>godz.10:40</v>
          </cell>
          <cell r="X153">
            <v>22</v>
          </cell>
          <cell r="Y153" t="str">
            <v>Runners Up</v>
          </cell>
          <cell r="Z153" t="str">
            <v>N0002</v>
          </cell>
          <cell r="AA153" t="str">
            <v/>
          </cell>
          <cell r="AB153" t="str">
            <v>M0008</v>
          </cell>
          <cell r="AC153" t="str">
            <v/>
          </cell>
          <cell r="AD153" t="str">
            <v>N0002</v>
          </cell>
          <cell r="AE153" t="str">
            <v/>
          </cell>
          <cell r="AF153" t="str">
            <v>21:19,21:14</v>
          </cell>
          <cell r="AG153" t="str">
            <v>19:21,14:21</v>
          </cell>
          <cell r="AH153" t="str">
            <v/>
          </cell>
          <cell r="AI153">
            <v>21</v>
          </cell>
          <cell r="AJ153">
            <v>19</v>
          </cell>
          <cell r="AK153">
            <v>21</v>
          </cell>
          <cell r="AL153">
            <v>14</v>
          </cell>
          <cell r="AM153">
            <v>0</v>
          </cell>
          <cell r="AN153">
            <v>0</v>
          </cell>
        </row>
        <row r="154">
          <cell r="A154" t="str">
            <v/>
          </cell>
          <cell r="B154" t="str">
            <v>Robert NOWAK (Mielec)</v>
          </cell>
          <cell r="H154" t="str">
            <v>N0002</v>
          </cell>
          <cell r="K154" t="str">
            <v>M0008</v>
          </cell>
          <cell r="N154" t="str">
            <v>Tadeusz MICHALIK (Tarnów)</v>
          </cell>
        </row>
        <row r="155">
          <cell r="A155" t="str">
            <v/>
          </cell>
          <cell r="B155" t="str">
            <v/>
          </cell>
          <cell r="H155" t="str">
            <v/>
          </cell>
          <cell r="K155" t="str">
            <v/>
          </cell>
          <cell r="N155" t="str">
            <v/>
          </cell>
        </row>
        <row r="157">
          <cell r="B157" t="str">
            <v>zwycięzca(cy): 21:19,21:14</v>
          </cell>
          <cell r="K157" t="str">
            <v/>
          </cell>
        </row>
        <row r="158">
          <cell r="B158">
            <v>23</v>
          </cell>
          <cell r="C158" t="str">
            <v>dzień turnieju.</v>
          </cell>
          <cell r="I158" t="str">
            <v>Nr meczu</v>
          </cell>
          <cell r="N158" t="str">
            <v>Godz.</v>
          </cell>
          <cell r="R158" t="str">
            <v>S. prow.</v>
          </cell>
          <cell r="AF158" t="str">
            <v>wygrany</v>
          </cell>
          <cell r="AG158" t="str">
            <v>przegrany</v>
          </cell>
        </row>
        <row r="159">
          <cell r="B159" t="str">
            <v>Boisko</v>
          </cell>
          <cell r="C159" t="str">
            <v>Gra</v>
          </cell>
          <cell r="I159">
            <v>23</v>
          </cell>
          <cell r="N159" t="str">
            <v>rozp.</v>
          </cell>
          <cell r="P159" t="str">
            <v>zak.</v>
          </cell>
          <cell r="R159" t="str">
            <v>S. serw.</v>
          </cell>
        </row>
        <row r="160">
          <cell r="A160">
            <v>23</v>
          </cell>
          <cell r="C160" t="str">
            <v>Runners Up</v>
          </cell>
          <cell r="H160">
            <v>15</v>
          </cell>
          <cell r="I160">
            <v>21</v>
          </cell>
          <cell r="J160">
            <v>19</v>
          </cell>
          <cell r="K160">
            <v>21</v>
          </cell>
          <cell r="R160">
            <v>0</v>
          </cell>
          <cell r="S160" t="str">
            <v>godz.10:40</v>
          </cell>
          <cell r="X160">
            <v>23</v>
          </cell>
          <cell r="Y160" t="str">
            <v>Runners Up</v>
          </cell>
          <cell r="Z160" t="str">
            <v>S0020</v>
          </cell>
          <cell r="AA160" t="str">
            <v/>
          </cell>
          <cell r="AB160" t="str">
            <v>M0023</v>
          </cell>
          <cell r="AC160" t="str">
            <v/>
          </cell>
          <cell r="AD160" t="str">
            <v>M0023</v>
          </cell>
          <cell r="AE160" t="str">
            <v/>
          </cell>
          <cell r="AF160" t="str">
            <v>21:15,21:19</v>
          </cell>
          <cell r="AG160" t="str">
            <v>15:21,19:21</v>
          </cell>
          <cell r="AH160" t="str">
            <v/>
          </cell>
          <cell r="AI160">
            <v>15</v>
          </cell>
          <cell r="AJ160">
            <v>21</v>
          </cell>
          <cell r="AK160">
            <v>19</v>
          </cell>
          <cell r="AL160">
            <v>21</v>
          </cell>
          <cell r="AM160">
            <v>0</v>
          </cell>
          <cell r="AN160">
            <v>0</v>
          </cell>
        </row>
        <row r="161">
          <cell r="A161" t="str">
            <v/>
          </cell>
          <cell r="B161" t="str">
            <v>Mariusz SŁOMBA (Mielec)</v>
          </cell>
          <cell r="H161" t="str">
            <v>S0020</v>
          </cell>
          <cell r="K161" t="str">
            <v>M0023</v>
          </cell>
          <cell r="N161" t="str">
            <v>Tymoteusz MALIK (Tarnobrzeg)</v>
          </cell>
        </row>
        <row r="162">
          <cell r="A162" t="str">
            <v/>
          </cell>
          <cell r="B162" t="str">
            <v/>
          </cell>
          <cell r="H162" t="str">
            <v/>
          </cell>
          <cell r="K162" t="str">
            <v/>
          </cell>
          <cell r="N162" t="str">
            <v/>
          </cell>
        </row>
        <row r="164">
          <cell r="B164" t="str">
            <v/>
          </cell>
          <cell r="K164" t="str">
            <v>zwycięzca(cy): 21:15,21:19</v>
          </cell>
        </row>
        <row r="165">
          <cell r="B165">
            <v>24</v>
          </cell>
          <cell r="C165" t="str">
            <v>dzień turnieju.</v>
          </cell>
          <cell r="I165" t="str">
            <v>Nr meczu</v>
          </cell>
          <cell r="N165" t="str">
            <v>Godz.</v>
          </cell>
          <cell r="R165" t="str">
            <v>S. prow.</v>
          </cell>
          <cell r="AF165" t="str">
            <v>wygrany</v>
          </cell>
          <cell r="AG165" t="str">
            <v>przegrany</v>
          </cell>
        </row>
        <row r="166">
          <cell r="B166" t="str">
            <v>Boisko</v>
          </cell>
          <cell r="C166" t="str">
            <v>Gra</v>
          </cell>
          <cell r="I166">
            <v>24</v>
          </cell>
          <cell r="N166" t="str">
            <v>rozp.</v>
          </cell>
          <cell r="P166" t="str">
            <v>zak.</v>
          </cell>
          <cell r="R166" t="str">
            <v>S. serw.</v>
          </cell>
        </row>
        <row r="167">
          <cell r="A167">
            <v>24</v>
          </cell>
          <cell r="C167" t="str">
            <v>Runners Up</v>
          </cell>
          <cell r="H167">
            <v>21</v>
          </cell>
          <cell r="I167">
            <v>15</v>
          </cell>
          <cell r="J167">
            <v>18</v>
          </cell>
          <cell r="K167">
            <v>21</v>
          </cell>
          <cell r="L167">
            <v>21</v>
          </cell>
          <cell r="M167">
            <v>9</v>
          </cell>
          <cell r="R167">
            <v>0</v>
          </cell>
          <cell r="S167" t="str">
            <v>godz.10:40</v>
          </cell>
          <cell r="X167">
            <v>24</v>
          </cell>
          <cell r="Y167" t="str">
            <v>Runners Up</v>
          </cell>
          <cell r="Z167" t="str">
            <v>M0008</v>
          </cell>
          <cell r="AA167" t="str">
            <v/>
          </cell>
          <cell r="AB167" t="str">
            <v>S0020</v>
          </cell>
          <cell r="AC167" t="str">
            <v/>
          </cell>
          <cell r="AD167" t="str">
            <v>M0008</v>
          </cell>
          <cell r="AE167" t="str">
            <v/>
          </cell>
          <cell r="AF167" t="str">
            <v>21:15,18:21,21:9</v>
          </cell>
          <cell r="AG167" t="str">
            <v>15:21,21:18,9:21</v>
          </cell>
          <cell r="AH167" t="str">
            <v/>
          </cell>
          <cell r="AI167">
            <v>21</v>
          </cell>
          <cell r="AJ167">
            <v>15</v>
          </cell>
          <cell r="AK167">
            <v>18</v>
          </cell>
          <cell r="AL167">
            <v>21</v>
          </cell>
          <cell r="AM167">
            <v>21</v>
          </cell>
          <cell r="AN167">
            <v>9</v>
          </cell>
        </row>
        <row r="168">
          <cell r="A168" t="str">
            <v/>
          </cell>
          <cell r="B168" t="str">
            <v>Tadeusz MICHALIK (Tarnów)</v>
          </cell>
          <cell r="H168" t="str">
            <v>M0008</v>
          </cell>
          <cell r="K168" t="str">
            <v>S0020</v>
          </cell>
          <cell r="N168" t="str">
            <v>Mariusz SŁOMBA (Mielec)</v>
          </cell>
        </row>
        <row r="169">
          <cell r="A169" t="str">
            <v/>
          </cell>
          <cell r="B169" t="str">
            <v/>
          </cell>
          <cell r="H169" t="str">
            <v/>
          </cell>
          <cell r="K169" t="str">
            <v/>
          </cell>
          <cell r="N169" t="str">
            <v/>
          </cell>
        </row>
        <row r="171">
          <cell r="B171" t="str">
            <v>zwycięzca(cy): 21:15,18:21,21:9</v>
          </cell>
          <cell r="K171" t="str">
            <v/>
          </cell>
        </row>
        <row r="172">
          <cell r="B172">
            <v>25</v>
          </cell>
          <cell r="C172" t="str">
            <v>dzień turnieju.</v>
          </cell>
          <cell r="I172" t="str">
            <v>Nr meczu</v>
          </cell>
          <cell r="N172" t="str">
            <v>Godz.</v>
          </cell>
          <cell r="R172" t="str">
            <v>S. prow.</v>
          </cell>
          <cell r="AF172" t="str">
            <v>wygrany</v>
          </cell>
          <cell r="AG172" t="str">
            <v>przegrany</v>
          </cell>
        </row>
        <row r="173">
          <cell r="B173" t="str">
            <v>Boisko</v>
          </cell>
          <cell r="C173" t="str">
            <v>Gra</v>
          </cell>
          <cell r="I173">
            <v>25</v>
          </cell>
          <cell r="N173" t="str">
            <v>rozp.</v>
          </cell>
          <cell r="P173" t="str">
            <v>zak.</v>
          </cell>
          <cell r="R173" t="str">
            <v>S. serw.</v>
          </cell>
        </row>
        <row r="174">
          <cell r="A174">
            <v>25</v>
          </cell>
          <cell r="C174" t="str">
            <v>Runners Up</v>
          </cell>
          <cell r="H174">
            <v>18</v>
          </cell>
          <cell r="I174">
            <v>21</v>
          </cell>
          <cell r="J174">
            <v>11</v>
          </cell>
          <cell r="K174">
            <v>21</v>
          </cell>
          <cell r="R174">
            <v>0</v>
          </cell>
          <cell r="S174" t="str">
            <v>godz.11:00</v>
          </cell>
          <cell r="X174">
            <v>25</v>
          </cell>
          <cell r="Y174" t="str">
            <v>Runners Up</v>
          </cell>
          <cell r="Z174" t="str">
            <v>N0002</v>
          </cell>
          <cell r="AA174" t="str">
            <v/>
          </cell>
          <cell r="AB174" t="str">
            <v>M0023</v>
          </cell>
          <cell r="AC174" t="str">
            <v/>
          </cell>
          <cell r="AD174" t="str">
            <v>M0023</v>
          </cell>
          <cell r="AE174" t="str">
            <v/>
          </cell>
          <cell r="AF174" t="str">
            <v>21:18,21:11</v>
          </cell>
          <cell r="AG174" t="str">
            <v>18:21,11:21</v>
          </cell>
          <cell r="AH174" t="str">
            <v/>
          </cell>
          <cell r="AI174">
            <v>18</v>
          </cell>
          <cell r="AJ174">
            <v>21</v>
          </cell>
          <cell r="AK174">
            <v>11</v>
          </cell>
          <cell r="AL174">
            <v>21</v>
          </cell>
          <cell r="AM174">
            <v>0</v>
          </cell>
          <cell r="AN174">
            <v>0</v>
          </cell>
        </row>
        <row r="175">
          <cell r="A175" t="str">
            <v/>
          </cell>
          <cell r="B175" t="str">
            <v>Robert NOWAK (Mielec)</v>
          </cell>
          <cell r="H175" t="str">
            <v>N0002</v>
          </cell>
          <cell r="K175" t="str">
            <v>M0023</v>
          </cell>
          <cell r="N175" t="str">
            <v>Tymoteusz MALIK (Tarnobrzeg)</v>
          </cell>
        </row>
        <row r="176">
          <cell r="A176" t="str">
            <v/>
          </cell>
          <cell r="B176" t="str">
            <v/>
          </cell>
          <cell r="H176" t="str">
            <v/>
          </cell>
          <cell r="K176" t="str">
            <v/>
          </cell>
          <cell r="N176" t="str">
            <v/>
          </cell>
        </row>
        <row r="178">
          <cell r="B178" t="str">
            <v/>
          </cell>
          <cell r="K178" t="str">
            <v>zwycięzca(cy): 21:18,21:11</v>
          </cell>
        </row>
        <row r="179">
          <cell r="B179">
            <v>26</v>
          </cell>
          <cell r="C179" t="str">
            <v>dzień turnieju.</v>
          </cell>
          <cell r="I179" t="str">
            <v>Nr meczu</v>
          </cell>
          <cell r="N179" t="str">
            <v>Godz.</v>
          </cell>
          <cell r="R179" t="str">
            <v>S. prow.</v>
          </cell>
          <cell r="AF179" t="str">
            <v>wygrany</v>
          </cell>
          <cell r="AG179" t="str">
            <v>przegrany</v>
          </cell>
        </row>
        <row r="180">
          <cell r="B180" t="str">
            <v>Boisko</v>
          </cell>
          <cell r="C180" t="str">
            <v>Gra</v>
          </cell>
          <cell r="I180">
            <v>26</v>
          </cell>
          <cell r="N180" t="str">
            <v>rozp.</v>
          </cell>
          <cell r="P180" t="str">
            <v>zak.</v>
          </cell>
          <cell r="R180" t="str">
            <v>S. serw.</v>
          </cell>
        </row>
        <row r="181">
          <cell r="A181">
            <v>26</v>
          </cell>
          <cell r="C181" t="str">
            <v>Kobiet</v>
          </cell>
          <cell r="H181">
            <v>19</v>
          </cell>
          <cell r="I181">
            <v>21</v>
          </cell>
          <cell r="J181">
            <v>21</v>
          </cell>
          <cell r="K181">
            <v>17</v>
          </cell>
          <cell r="L181">
            <v>21</v>
          </cell>
          <cell r="M181">
            <v>14</v>
          </cell>
          <cell r="R181">
            <v>0</v>
          </cell>
          <cell r="S181" t="str">
            <v>godz.11:00</v>
          </cell>
          <cell r="X181">
            <v>26</v>
          </cell>
          <cell r="Y181" t="str">
            <v>Kobiet</v>
          </cell>
          <cell r="Z181" t="str">
            <v>J0003</v>
          </cell>
          <cell r="AA181" t="str">
            <v/>
          </cell>
          <cell r="AB181" t="str">
            <v>D0008</v>
          </cell>
          <cell r="AC181" t="str">
            <v/>
          </cell>
          <cell r="AD181" t="str">
            <v>J0003</v>
          </cell>
          <cell r="AE181" t="str">
            <v/>
          </cell>
          <cell r="AF181" t="str">
            <v>19:21,21:17,21:14</v>
          </cell>
          <cell r="AG181" t="str">
            <v>21:19,17:21,14:21</v>
          </cell>
          <cell r="AH181" t="str">
            <v/>
          </cell>
          <cell r="AI181">
            <v>19</v>
          </cell>
          <cell r="AJ181">
            <v>21</v>
          </cell>
          <cell r="AK181">
            <v>21</v>
          </cell>
          <cell r="AL181">
            <v>17</v>
          </cell>
          <cell r="AM181">
            <v>21</v>
          </cell>
          <cell r="AN181">
            <v>14</v>
          </cell>
        </row>
        <row r="182">
          <cell r="A182" t="str">
            <v/>
          </cell>
          <cell r="B182" t="str">
            <v>Paulina JANUS (Mielec)</v>
          </cell>
          <cell r="H182" t="str">
            <v>J0003</v>
          </cell>
          <cell r="K182" t="str">
            <v>D0008</v>
          </cell>
          <cell r="N182" t="str">
            <v>Patrycja DOMAŃSKA (Rzeszów)</v>
          </cell>
        </row>
        <row r="183">
          <cell r="A183" t="str">
            <v/>
          </cell>
          <cell r="B183" t="str">
            <v/>
          </cell>
          <cell r="H183" t="str">
            <v/>
          </cell>
          <cell r="K183" t="str">
            <v/>
          </cell>
          <cell r="N183" t="str">
            <v/>
          </cell>
        </row>
        <row r="185">
          <cell r="B185" t="str">
            <v>zwycięzca(cy): 19:21,21:17,21:14</v>
          </cell>
          <cell r="K185" t="str">
            <v/>
          </cell>
        </row>
        <row r="186">
          <cell r="B186">
            <v>27</v>
          </cell>
          <cell r="C186" t="str">
            <v>dzień turnieju.</v>
          </cell>
          <cell r="I186" t="str">
            <v>Nr meczu</v>
          </cell>
          <cell r="N186" t="str">
            <v>Godz.</v>
          </cell>
          <cell r="R186" t="str">
            <v>S. prow.</v>
          </cell>
          <cell r="AF186" t="str">
            <v>wygrany</v>
          </cell>
          <cell r="AG186" t="str">
            <v>przegrany</v>
          </cell>
        </row>
        <row r="187">
          <cell r="B187" t="str">
            <v>Boisko</v>
          </cell>
          <cell r="C187" t="str">
            <v>Gra</v>
          </cell>
          <cell r="I187">
            <v>27</v>
          </cell>
          <cell r="N187" t="str">
            <v>rozp.</v>
          </cell>
          <cell r="P187" t="str">
            <v>zak.</v>
          </cell>
          <cell r="R187" t="str">
            <v>S. serw.</v>
          </cell>
        </row>
        <row r="188">
          <cell r="A188">
            <v>27</v>
          </cell>
          <cell r="C188" t="str">
            <v>Kobiet</v>
          </cell>
          <cell r="H188">
            <v>21</v>
          </cell>
          <cell r="I188">
            <v>13</v>
          </cell>
          <cell r="J188">
            <v>21</v>
          </cell>
          <cell r="K188">
            <v>16</v>
          </cell>
          <cell r="R188">
            <v>0</v>
          </cell>
          <cell r="S188" t="str">
            <v>godz.11:00</v>
          </cell>
          <cell r="X188">
            <v>27</v>
          </cell>
          <cell r="Y188" t="str">
            <v>Kobiet</v>
          </cell>
          <cell r="Z188" t="str">
            <v>N0005</v>
          </cell>
          <cell r="AA188" t="str">
            <v/>
          </cell>
          <cell r="AB188" t="str">
            <v>D0008</v>
          </cell>
          <cell r="AC188" t="str">
            <v/>
          </cell>
          <cell r="AD188" t="str">
            <v>N0005</v>
          </cell>
          <cell r="AE188" t="str">
            <v/>
          </cell>
          <cell r="AF188" t="str">
            <v>21:13,21:16</v>
          </cell>
          <cell r="AG188" t="str">
            <v>13:21,16:21</v>
          </cell>
          <cell r="AH188" t="str">
            <v/>
          </cell>
          <cell r="AI188">
            <v>21</v>
          </cell>
          <cell r="AJ188">
            <v>13</v>
          </cell>
          <cell r="AK188">
            <v>21</v>
          </cell>
          <cell r="AL188">
            <v>16</v>
          </cell>
          <cell r="AM188">
            <v>0</v>
          </cell>
          <cell r="AN188">
            <v>0</v>
          </cell>
        </row>
        <row r="189">
          <cell r="A189" t="str">
            <v/>
          </cell>
          <cell r="B189" t="str">
            <v>Izabela NOWAK (Mielec)</v>
          </cell>
          <cell r="H189" t="str">
            <v>N0005</v>
          </cell>
          <cell r="K189" t="str">
            <v>D0008</v>
          </cell>
          <cell r="N189" t="str">
            <v>Patrycja DOMAŃSKA (Rzeszów)</v>
          </cell>
        </row>
        <row r="190">
          <cell r="A190" t="str">
            <v/>
          </cell>
          <cell r="B190" t="str">
            <v/>
          </cell>
          <cell r="H190" t="str">
            <v/>
          </cell>
          <cell r="K190" t="str">
            <v/>
          </cell>
          <cell r="N190" t="str">
            <v/>
          </cell>
        </row>
        <row r="192">
          <cell r="B192" t="str">
            <v>zwycięzca(cy): 21:13,21:16</v>
          </cell>
          <cell r="K192" t="str">
            <v/>
          </cell>
        </row>
        <row r="193">
          <cell r="B193">
            <v>28</v>
          </cell>
          <cell r="C193" t="str">
            <v>dzień turnieju.</v>
          </cell>
          <cell r="I193" t="str">
            <v>Nr meczu</v>
          </cell>
          <cell r="N193" t="str">
            <v>Godz.</v>
          </cell>
          <cell r="R193" t="str">
            <v>S. prow.</v>
          </cell>
          <cell r="AF193" t="str">
            <v>wygrany</v>
          </cell>
          <cell r="AG193" t="str">
            <v>przegrany</v>
          </cell>
        </row>
        <row r="194">
          <cell r="B194" t="str">
            <v>Boisko</v>
          </cell>
          <cell r="C194" t="str">
            <v>Gra</v>
          </cell>
          <cell r="I194">
            <v>28</v>
          </cell>
          <cell r="N194" t="str">
            <v>rozp.</v>
          </cell>
          <cell r="P194" t="str">
            <v>zak.</v>
          </cell>
          <cell r="R194" t="str">
            <v>S. serw.</v>
          </cell>
        </row>
        <row r="195">
          <cell r="A195">
            <v>28</v>
          </cell>
          <cell r="C195" t="str">
            <v>Kobiet</v>
          </cell>
          <cell r="H195">
            <v>11</v>
          </cell>
          <cell r="I195">
            <v>21</v>
          </cell>
          <cell r="J195">
            <v>19</v>
          </cell>
          <cell r="K195">
            <v>21</v>
          </cell>
          <cell r="R195">
            <v>0</v>
          </cell>
          <cell r="S195" t="str">
            <v>godz.11:00</v>
          </cell>
          <cell r="X195">
            <v>28</v>
          </cell>
          <cell r="Y195" t="str">
            <v>Kobiet</v>
          </cell>
          <cell r="Z195" t="str">
            <v>J0003</v>
          </cell>
          <cell r="AA195" t="str">
            <v/>
          </cell>
          <cell r="AB195" t="str">
            <v>N0005</v>
          </cell>
          <cell r="AC195" t="str">
            <v/>
          </cell>
          <cell r="AD195" t="str">
            <v>N0005</v>
          </cell>
          <cell r="AE195" t="str">
            <v/>
          </cell>
          <cell r="AF195" t="str">
            <v>21:11,21:19</v>
          </cell>
          <cell r="AG195" t="str">
            <v>11:21,19:21</v>
          </cell>
          <cell r="AH195" t="str">
            <v/>
          </cell>
          <cell r="AI195">
            <v>11</v>
          </cell>
          <cell r="AJ195">
            <v>21</v>
          </cell>
          <cell r="AK195">
            <v>19</v>
          </cell>
          <cell r="AL195">
            <v>21</v>
          </cell>
          <cell r="AM195">
            <v>0</v>
          </cell>
          <cell r="AN195">
            <v>0</v>
          </cell>
        </row>
        <row r="196">
          <cell r="A196" t="str">
            <v/>
          </cell>
          <cell r="B196" t="str">
            <v>Paulina JANUS (Mielec)</v>
          </cell>
          <cell r="H196" t="str">
            <v>J0003</v>
          </cell>
          <cell r="K196" t="str">
            <v>N0005</v>
          </cell>
          <cell r="N196" t="str">
            <v>Izabela NOWAK (Mielec)</v>
          </cell>
        </row>
        <row r="197">
          <cell r="A197" t="str">
            <v/>
          </cell>
          <cell r="B197" t="str">
            <v/>
          </cell>
          <cell r="H197" t="str">
            <v/>
          </cell>
          <cell r="K197" t="str">
            <v/>
          </cell>
          <cell r="N197" t="str">
            <v/>
          </cell>
        </row>
        <row r="199">
          <cell r="B199" t="str">
            <v/>
          </cell>
          <cell r="K199" t="str">
            <v>zwycięzca(cy): 21:11,21:19</v>
          </cell>
        </row>
        <row r="200">
          <cell r="B200">
            <v>29</v>
          </cell>
          <cell r="C200" t="str">
            <v>dzień turnieju.</v>
          </cell>
          <cell r="I200" t="str">
            <v>Nr meczu</v>
          </cell>
          <cell r="N200" t="str">
            <v>Godz.</v>
          </cell>
          <cell r="R200" t="str">
            <v>S. prow.</v>
          </cell>
          <cell r="AF200" t="str">
            <v>wygrany</v>
          </cell>
          <cell r="AG200" t="str">
            <v>przegrany</v>
          </cell>
        </row>
        <row r="201">
          <cell r="B201" t="str">
            <v>Boisko</v>
          </cell>
          <cell r="C201" t="str">
            <v>Gra</v>
          </cell>
          <cell r="I201">
            <v>29</v>
          </cell>
          <cell r="N201" t="str">
            <v>rozp.</v>
          </cell>
          <cell r="P201" t="str">
            <v>zak.</v>
          </cell>
          <cell r="R201" t="str">
            <v>S. serw.</v>
          </cell>
        </row>
        <row r="202">
          <cell r="A202">
            <v>29</v>
          </cell>
          <cell r="C202" t="str">
            <v>Old Boys</v>
          </cell>
          <cell r="H202">
            <v>21</v>
          </cell>
          <cell r="I202">
            <v>19</v>
          </cell>
          <cell r="J202">
            <v>21</v>
          </cell>
          <cell r="K202">
            <v>13</v>
          </cell>
          <cell r="R202">
            <v>0</v>
          </cell>
          <cell r="S202" t="str">
            <v>godz.11:20</v>
          </cell>
          <cell r="X202">
            <v>29</v>
          </cell>
          <cell r="Y202" t="str">
            <v>Old Boys</v>
          </cell>
          <cell r="Z202" t="str">
            <v>B0009</v>
          </cell>
          <cell r="AA202" t="str">
            <v/>
          </cell>
          <cell r="AB202" t="str">
            <v>M0008</v>
          </cell>
          <cell r="AC202" t="str">
            <v/>
          </cell>
          <cell r="AD202" t="str">
            <v>B0009</v>
          </cell>
          <cell r="AE202" t="str">
            <v/>
          </cell>
          <cell r="AF202" t="str">
            <v>21:19,21:13</v>
          </cell>
          <cell r="AG202" t="str">
            <v>19:21,13:21</v>
          </cell>
          <cell r="AH202" t="str">
            <v/>
          </cell>
          <cell r="AI202">
            <v>21</v>
          </cell>
          <cell r="AJ202">
            <v>19</v>
          </cell>
          <cell r="AK202">
            <v>21</v>
          </cell>
          <cell r="AL202">
            <v>13</v>
          </cell>
          <cell r="AM202">
            <v>0</v>
          </cell>
          <cell r="AN202">
            <v>0</v>
          </cell>
        </row>
        <row r="203">
          <cell r="A203" t="str">
            <v/>
          </cell>
          <cell r="B203" t="str">
            <v>Adam BUNIO (Nowa Dęba)</v>
          </cell>
          <cell r="H203" t="str">
            <v>B0009</v>
          </cell>
          <cell r="K203" t="str">
            <v>M0008</v>
          </cell>
          <cell r="N203" t="str">
            <v>Tadeusz MICHALIK (Tarnów)</v>
          </cell>
        </row>
        <row r="204">
          <cell r="A204" t="str">
            <v/>
          </cell>
          <cell r="B204" t="str">
            <v/>
          </cell>
          <cell r="H204" t="str">
            <v/>
          </cell>
          <cell r="K204" t="str">
            <v/>
          </cell>
          <cell r="N204" t="str">
            <v/>
          </cell>
        </row>
        <row r="206">
          <cell r="B206" t="str">
            <v>zwycięzca(cy): 21:19,21:13</v>
          </cell>
          <cell r="K206" t="str">
            <v/>
          </cell>
        </row>
        <row r="207">
          <cell r="B207">
            <v>30</v>
          </cell>
          <cell r="C207" t="str">
            <v>dzień turnieju.</v>
          </cell>
          <cell r="I207" t="str">
            <v>Nr meczu</v>
          </cell>
          <cell r="N207" t="str">
            <v>Godz.</v>
          </cell>
          <cell r="R207" t="str">
            <v>S. prow.</v>
          </cell>
          <cell r="AF207" t="str">
            <v>wygrany</v>
          </cell>
          <cell r="AG207" t="str">
            <v>przegrany</v>
          </cell>
        </row>
        <row r="208">
          <cell r="B208" t="str">
            <v>Boisko</v>
          </cell>
          <cell r="C208" t="str">
            <v>Gra</v>
          </cell>
          <cell r="I208">
            <v>30</v>
          </cell>
          <cell r="N208" t="str">
            <v>rozp.</v>
          </cell>
          <cell r="P208" t="str">
            <v>zak.</v>
          </cell>
          <cell r="R208" t="str">
            <v>S. serw.</v>
          </cell>
        </row>
        <row r="209">
          <cell r="A209">
            <v>30</v>
          </cell>
          <cell r="C209" t="str">
            <v>Old Boys</v>
          </cell>
          <cell r="H209">
            <v>24</v>
          </cell>
          <cell r="I209">
            <v>26</v>
          </cell>
          <cell r="J209">
            <v>18</v>
          </cell>
          <cell r="K209">
            <v>21</v>
          </cell>
          <cell r="R209">
            <v>0</v>
          </cell>
          <cell r="S209" t="str">
            <v>godz.11:20</v>
          </cell>
          <cell r="X209">
            <v>30</v>
          </cell>
          <cell r="Y209" t="str">
            <v>Old Boys</v>
          </cell>
          <cell r="Z209" t="str">
            <v>K0003</v>
          </cell>
          <cell r="AA209" t="str">
            <v/>
          </cell>
          <cell r="AB209" t="str">
            <v>M0008</v>
          </cell>
          <cell r="AC209" t="str">
            <v/>
          </cell>
          <cell r="AD209" t="str">
            <v>M0008</v>
          </cell>
          <cell r="AE209" t="str">
            <v/>
          </cell>
          <cell r="AF209" t="str">
            <v>26:24,21:18</v>
          </cell>
          <cell r="AG209" t="str">
            <v>24:26,18:21</v>
          </cell>
          <cell r="AH209" t="str">
            <v/>
          </cell>
          <cell r="AI209">
            <v>24</v>
          </cell>
          <cell r="AJ209">
            <v>26</v>
          </cell>
          <cell r="AK209">
            <v>18</v>
          </cell>
          <cell r="AL209">
            <v>21</v>
          </cell>
          <cell r="AM209">
            <v>0</v>
          </cell>
          <cell r="AN209">
            <v>0</v>
          </cell>
        </row>
        <row r="210">
          <cell r="A210" t="str">
            <v/>
          </cell>
          <cell r="B210" t="str">
            <v>Robert KARNASIEWICZ (Mielec)</v>
          </cell>
          <cell r="H210" t="str">
            <v>K0003</v>
          </cell>
          <cell r="K210" t="str">
            <v>M0008</v>
          </cell>
          <cell r="N210" t="str">
            <v>Tadeusz MICHALIK (Tarnów)</v>
          </cell>
        </row>
        <row r="211">
          <cell r="A211" t="str">
            <v/>
          </cell>
          <cell r="B211" t="str">
            <v/>
          </cell>
          <cell r="H211" t="str">
            <v/>
          </cell>
          <cell r="K211" t="str">
            <v/>
          </cell>
          <cell r="N211" t="str">
            <v/>
          </cell>
        </row>
        <row r="213">
          <cell r="B213" t="str">
            <v/>
          </cell>
          <cell r="K213" t="str">
            <v>zwycięzca(cy): 26:24,21:18</v>
          </cell>
        </row>
        <row r="214">
          <cell r="B214">
            <v>31</v>
          </cell>
          <cell r="C214" t="str">
            <v>dzień turnieju.</v>
          </cell>
          <cell r="I214" t="str">
            <v>Nr meczu</v>
          </cell>
          <cell r="N214" t="str">
            <v>Godz.</v>
          </cell>
          <cell r="R214" t="str">
            <v>S. prow.</v>
          </cell>
          <cell r="AF214" t="str">
            <v>wygrany</v>
          </cell>
          <cell r="AG214" t="str">
            <v>przegrany</v>
          </cell>
        </row>
        <row r="215">
          <cell r="B215" t="str">
            <v>Boisko</v>
          </cell>
          <cell r="C215" t="str">
            <v>Gra</v>
          </cell>
          <cell r="I215">
            <v>31</v>
          </cell>
          <cell r="N215" t="str">
            <v>rozp.</v>
          </cell>
          <cell r="P215" t="str">
            <v>zak.</v>
          </cell>
          <cell r="R215" t="str">
            <v>S. serw.</v>
          </cell>
        </row>
        <row r="216">
          <cell r="A216">
            <v>31</v>
          </cell>
          <cell r="C216" t="str">
            <v>Old Boys</v>
          </cell>
          <cell r="H216">
            <v>21</v>
          </cell>
          <cell r="I216">
            <v>12</v>
          </cell>
          <cell r="J216">
            <v>21</v>
          </cell>
          <cell r="K216">
            <v>8</v>
          </cell>
          <cell r="R216">
            <v>0</v>
          </cell>
          <cell r="S216" t="str">
            <v>godz.11:20</v>
          </cell>
          <cell r="X216">
            <v>31</v>
          </cell>
          <cell r="Y216" t="str">
            <v>Old Boys</v>
          </cell>
          <cell r="Z216" t="str">
            <v>B0009</v>
          </cell>
          <cell r="AA216" t="str">
            <v/>
          </cell>
          <cell r="AB216" t="str">
            <v>K0003</v>
          </cell>
          <cell r="AC216" t="str">
            <v/>
          </cell>
          <cell r="AD216" t="str">
            <v>B0009</v>
          </cell>
          <cell r="AE216" t="str">
            <v/>
          </cell>
          <cell r="AF216" t="str">
            <v>21:12,21:8</v>
          </cell>
          <cell r="AG216" t="str">
            <v>12:21,8:21</v>
          </cell>
          <cell r="AH216" t="str">
            <v/>
          </cell>
          <cell r="AI216">
            <v>21</v>
          </cell>
          <cell r="AJ216">
            <v>12</v>
          </cell>
          <cell r="AK216">
            <v>21</v>
          </cell>
          <cell r="AL216">
            <v>8</v>
          </cell>
          <cell r="AM216">
            <v>0</v>
          </cell>
          <cell r="AN216">
            <v>0</v>
          </cell>
        </row>
        <row r="217">
          <cell r="A217" t="str">
            <v/>
          </cell>
          <cell r="B217" t="str">
            <v>Adam BUNIO (Nowa Dęba)</v>
          </cell>
          <cell r="H217" t="str">
            <v>B0009</v>
          </cell>
          <cell r="K217" t="str">
            <v>K0003</v>
          </cell>
          <cell r="N217" t="str">
            <v>Robert KARNASIEWICZ (Mielec)</v>
          </cell>
        </row>
        <row r="218">
          <cell r="A218" t="str">
            <v/>
          </cell>
          <cell r="B218" t="str">
            <v/>
          </cell>
          <cell r="H218" t="str">
            <v/>
          </cell>
          <cell r="K218" t="str">
            <v/>
          </cell>
          <cell r="N218" t="str">
            <v/>
          </cell>
        </row>
        <row r="220">
          <cell r="B220" t="str">
            <v>zwycięzca(cy): 21:12,21:8</v>
          </cell>
          <cell r="K220" t="str">
            <v/>
          </cell>
        </row>
        <row r="221">
          <cell r="B221">
            <v>32</v>
          </cell>
          <cell r="C221" t="str">
            <v>dzień turnieju.</v>
          </cell>
          <cell r="I221" t="str">
            <v>Nr meczu</v>
          </cell>
          <cell r="N221" t="str">
            <v>Godz.</v>
          </cell>
          <cell r="R221" t="str">
            <v>S. prow.</v>
          </cell>
          <cell r="AF221" t="str">
            <v>wygrany</v>
          </cell>
          <cell r="AG221" t="str">
            <v>przegrany</v>
          </cell>
        </row>
        <row r="222">
          <cell r="B222" t="str">
            <v>Boisko</v>
          </cell>
          <cell r="C222" t="str">
            <v>Gra</v>
          </cell>
          <cell r="I222">
            <v>32</v>
          </cell>
          <cell r="N222" t="str">
            <v>rozp.</v>
          </cell>
          <cell r="P222" t="str">
            <v>zak.</v>
          </cell>
          <cell r="R222" t="str">
            <v>S. serw.</v>
          </cell>
        </row>
        <row r="223">
          <cell r="A223">
            <v>32</v>
          </cell>
          <cell r="C223" t="str">
            <v>Open</v>
          </cell>
          <cell r="H223">
            <v>21</v>
          </cell>
          <cell r="I223">
            <v>17</v>
          </cell>
          <cell r="J223">
            <v>21</v>
          </cell>
          <cell r="K223">
            <v>11</v>
          </cell>
          <cell r="R223">
            <v>0</v>
          </cell>
          <cell r="S223" t="str">
            <v>godz.11:20</v>
          </cell>
          <cell r="X223">
            <v>32</v>
          </cell>
          <cell r="Y223" t="str">
            <v>Open</v>
          </cell>
          <cell r="Z223" t="str">
            <v>K0033</v>
          </cell>
          <cell r="AA223" t="str">
            <v/>
          </cell>
          <cell r="AB223" t="str">
            <v>K0011</v>
          </cell>
          <cell r="AC223" t="str">
            <v/>
          </cell>
          <cell r="AD223" t="str">
            <v>K0033</v>
          </cell>
          <cell r="AE223" t="str">
            <v/>
          </cell>
          <cell r="AF223" t="str">
            <v>21:17,21:11</v>
          </cell>
          <cell r="AG223" t="str">
            <v>17:21,11:21</v>
          </cell>
          <cell r="AH223" t="str">
            <v/>
          </cell>
          <cell r="AI223">
            <v>21</v>
          </cell>
          <cell r="AJ223">
            <v>17</v>
          </cell>
          <cell r="AK223">
            <v>21</v>
          </cell>
          <cell r="AL223">
            <v>11</v>
          </cell>
          <cell r="AM223">
            <v>0</v>
          </cell>
          <cell r="AN223">
            <v>0</v>
          </cell>
        </row>
        <row r="224">
          <cell r="A224" t="str">
            <v/>
          </cell>
          <cell r="B224" t="str">
            <v>Marek KAMIŃSKI (Nowa Dęba)</v>
          </cell>
          <cell r="H224" t="str">
            <v>K0033</v>
          </cell>
          <cell r="K224" t="str">
            <v>K0011</v>
          </cell>
          <cell r="N224" t="str">
            <v>Bartłomiej KOŚMIDER (Szczucin)</v>
          </cell>
        </row>
        <row r="225">
          <cell r="A225" t="str">
            <v/>
          </cell>
          <cell r="B225" t="str">
            <v/>
          </cell>
          <cell r="H225" t="str">
            <v/>
          </cell>
          <cell r="K225" t="str">
            <v/>
          </cell>
          <cell r="N225" t="str">
            <v/>
          </cell>
        </row>
        <row r="227">
          <cell r="B227" t="str">
            <v>zwycięzca(cy): 21:17,21:11</v>
          </cell>
          <cell r="K227" t="str">
            <v/>
          </cell>
        </row>
        <row r="228">
          <cell r="B228">
            <v>33</v>
          </cell>
          <cell r="C228" t="str">
            <v>dzień turnieju.</v>
          </cell>
          <cell r="I228" t="str">
            <v>Nr meczu</v>
          </cell>
          <cell r="N228" t="str">
            <v>Godz.</v>
          </cell>
          <cell r="R228" t="str">
            <v>S. prow.</v>
          </cell>
          <cell r="AF228" t="str">
            <v>wygrany</v>
          </cell>
          <cell r="AG228" t="str">
            <v>przegrany</v>
          </cell>
        </row>
        <row r="229">
          <cell r="B229" t="str">
            <v>Boisko</v>
          </cell>
          <cell r="C229" t="str">
            <v>Gra</v>
          </cell>
          <cell r="I229">
            <v>33</v>
          </cell>
          <cell r="N229" t="str">
            <v>rozp.</v>
          </cell>
          <cell r="P229" t="str">
            <v>zak.</v>
          </cell>
          <cell r="R229" t="str">
            <v>S. serw.</v>
          </cell>
        </row>
        <row r="230">
          <cell r="A230">
            <v>33</v>
          </cell>
          <cell r="C230" t="str">
            <v>Open</v>
          </cell>
          <cell r="H230">
            <v>0</v>
          </cell>
          <cell r="I230">
            <v>21</v>
          </cell>
          <cell r="J230">
            <v>0</v>
          </cell>
          <cell r="K230">
            <v>21</v>
          </cell>
          <cell r="R230">
            <v>0</v>
          </cell>
          <cell r="S230" t="str">
            <v>godz.11:40</v>
          </cell>
          <cell r="X230">
            <v>33</v>
          </cell>
          <cell r="Y230" t="str">
            <v>Open</v>
          </cell>
          <cell r="Z230" t="str">
            <v>R0008</v>
          </cell>
          <cell r="AA230" t="str">
            <v/>
          </cell>
          <cell r="AB230" t="str">
            <v>K0001</v>
          </cell>
          <cell r="AC230" t="str">
            <v/>
          </cell>
          <cell r="AD230" t="str">
            <v>K0001</v>
          </cell>
          <cell r="AE230" t="str">
            <v/>
          </cell>
          <cell r="AF230" t="str">
            <v>21:0,21:0</v>
          </cell>
          <cell r="AG230" t="str">
            <v>0:21,0:21</v>
          </cell>
          <cell r="AH230" t="str">
            <v/>
          </cell>
          <cell r="AI230">
            <v>0</v>
          </cell>
          <cell r="AJ230">
            <v>21</v>
          </cell>
          <cell r="AK230">
            <v>0</v>
          </cell>
          <cell r="AL230">
            <v>21</v>
          </cell>
          <cell r="AM230">
            <v>0</v>
          </cell>
          <cell r="AN230">
            <v>0</v>
          </cell>
        </row>
        <row r="231">
          <cell r="A231" t="str">
            <v/>
          </cell>
          <cell r="B231" t="str">
            <v>Dawid RZESZUTEK (Mielec)</v>
          </cell>
          <cell r="H231" t="str">
            <v>R0008</v>
          </cell>
          <cell r="K231" t="str">
            <v>K0001</v>
          </cell>
          <cell r="N231" t="str">
            <v>Marcin KALTENBERG (Tarnobrzeg)</v>
          </cell>
        </row>
        <row r="232">
          <cell r="A232" t="str">
            <v/>
          </cell>
          <cell r="B232" t="str">
            <v/>
          </cell>
          <cell r="H232" t="str">
            <v/>
          </cell>
          <cell r="K232" t="str">
            <v/>
          </cell>
          <cell r="N232" t="str">
            <v/>
          </cell>
        </row>
        <row r="234">
          <cell r="B234" t="str">
            <v/>
          </cell>
          <cell r="K234" t="str">
            <v>zwycięzca(cy): 21:0,21:0</v>
          </cell>
        </row>
        <row r="235">
          <cell r="B235">
            <v>34</v>
          </cell>
          <cell r="C235" t="str">
            <v>dzień turnieju.</v>
          </cell>
          <cell r="I235" t="str">
            <v>Nr meczu</v>
          </cell>
          <cell r="N235" t="str">
            <v>Godz.</v>
          </cell>
          <cell r="R235" t="str">
            <v>S. prow.</v>
          </cell>
          <cell r="AF235" t="str">
            <v>wygrany</v>
          </cell>
          <cell r="AG235" t="str">
            <v>przegrany</v>
          </cell>
        </row>
        <row r="236">
          <cell r="B236" t="str">
            <v>Boisko</v>
          </cell>
          <cell r="C236" t="str">
            <v>Gra</v>
          </cell>
          <cell r="I236">
            <v>34</v>
          </cell>
          <cell r="N236" t="str">
            <v>rozp.</v>
          </cell>
          <cell r="P236" t="str">
            <v>zak.</v>
          </cell>
          <cell r="R236" t="str">
            <v>S. serw.</v>
          </cell>
        </row>
        <row r="237">
          <cell r="A237">
            <v>34</v>
          </cell>
          <cell r="C237" t="str">
            <v>Open</v>
          </cell>
          <cell r="H237">
            <v>21</v>
          </cell>
          <cell r="I237">
            <v>8</v>
          </cell>
          <cell r="J237">
            <v>21</v>
          </cell>
          <cell r="K237">
            <v>10</v>
          </cell>
          <cell r="R237">
            <v>0</v>
          </cell>
          <cell r="S237" t="str">
            <v>godz.11:40</v>
          </cell>
          <cell r="X237">
            <v>34</v>
          </cell>
          <cell r="Y237" t="str">
            <v>Open</v>
          </cell>
          <cell r="Z237" t="str">
            <v>I0002</v>
          </cell>
          <cell r="AA237" t="str">
            <v/>
          </cell>
          <cell r="AB237" t="str">
            <v>J0001</v>
          </cell>
          <cell r="AC237" t="str">
            <v/>
          </cell>
          <cell r="AD237" t="str">
            <v>I0002</v>
          </cell>
          <cell r="AE237" t="str">
            <v/>
          </cell>
          <cell r="AF237" t="str">
            <v>21:8,21:10</v>
          </cell>
          <cell r="AG237" t="str">
            <v>8:21,10:21</v>
          </cell>
          <cell r="AH237" t="str">
            <v/>
          </cell>
          <cell r="AI237">
            <v>21</v>
          </cell>
          <cell r="AJ237">
            <v>8</v>
          </cell>
          <cell r="AK237">
            <v>21</v>
          </cell>
          <cell r="AL237">
            <v>10</v>
          </cell>
          <cell r="AM237">
            <v>0</v>
          </cell>
          <cell r="AN237">
            <v>0</v>
          </cell>
        </row>
        <row r="238">
          <cell r="A238" t="str">
            <v/>
          </cell>
          <cell r="B238" t="str">
            <v>Igor IWAŃSKI (Mielec)</v>
          </cell>
          <cell r="H238" t="str">
            <v>I0002</v>
          </cell>
          <cell r="K238" t="str">
            <v>J0001</v>
          </cell>
          <cell r="N238" t="str">
            <v>Mateusz JĘDRZEJKO (Rzeszów)</v>
          </cell>
        </row>
        <row r="239">
          <cell r="A239" t="str">
            <v/>
          </cell>
          <cell r="B239" t="str">
            <v/>
          </cell>
          <cell r="H239" t="str">
            <v/>
          </cell>
          <cell r="K239" t="str">
            <v/>
          </cell>
          <cell r="N239" t="str">
            <v/>
          </cell>
        </row>
        <row r="241">
          <cell r="B241" t="str">
            <v>zwycięzca(cy): 21:8,21:10</v>
          </cell>
          <cell r="K241" t="str">
            <v/>
          </cell>
        </row>
        <row r="242">
          <cell r="B242">
            <v>35</v>
          </cell>
          <cell r="C242" t="str">
            <v>dzień turnieju.</v>
          </cell>
          <cell r="I242" t="str">
            <v>Nr meczu</v>
          </cell>
          <cell r="N242" t="str">
            <v>Godz.</v>
          </cell>
          <cell r="R242" t="str">
            <v>S. prow.</v>
          </cell>
          <cell r="AF242" t="str">
            <v>wygrany</v>
          </cell>
          <cell r="AG242" t="str">
            <v>przegrany</v>
          </cell>
        </row>
        <row r="243">
          <cell r="B243" t="str">
            <v>Boisko</v>
          </cell>
          <cell r="C243" t="str">
            <v>Gra</v>
          </cell>
          <cell r="I243">
            <v>35</v>
          </cell>
          <cell r="N243" t="str">
            <v>rozp.</v>
          </cell>
          <cell r="P243" t="str">
            <v>zak.</v>
          </cell>
          <cell r="R243" t="str">
            <v>S. serw.</v>
          </cell>
        </row>
        <row r="244">
          <cell r="A244">
            <v>35</v>
          </cell>
          <cell r="C244" t="str">
            <v>Open</v>
          </cell>
          <cell r="H244">
            <v>21</v>
          </cell>
          <cell r="I244">
            <v>13</v>
          </cell>
          <cell r="J244">
            <v>21</v>
          </cell>
          <cell r="K244">
            <v>16</v>
          </cell>
          <cell r="R244">
            <v>0</v>
          </cell>
          <cell r="S244" t="str">
            <v>godz.11:40</v>
          </cell>
          <cell r="X244">
            <v>35</v>
          </cell>
          <cell r="Y244" t="str">
            <v>Open</v>
          </cell>
          <cell r="Z244" t="str">
            <v>K0033</v>
          </cell>
          <cell r="AA244" t="str">
            <v/>
          </cell>
          <cell r="AB244" t="str">
            <v>K0001</v>
          </cell>
          <cell r="AC244" t="str">
            <v/>
          </cell>
          <cell r="AD244" t="str">
            <v>K0033</v>
          </cell>
          <cell r="AE244" t="str">
            <v/>
          </cell>
          <cell r="AF244" t="str">
            <v>21:13,21:16</v>
          </cell>
          <cell r="AG244" t="str">
            <v>13:21,16:21</v>
          </cell>
          <cell r="AH244" t="str">
            <v/>
          </cell>
          <cell r="AI244">
            <v>21</v>
          </cell>
          <cell r="AJ244">
            <v>13</v>
          </cell>
          <cell r="AK244">
            <v>21</v>
          </cell>
          <cell r="AL244">
            <v>16</v>
          </cell>
          <cell r="AM244">
            <v>0</v>
          </cell>
          <cell r="AN244">
            <v>0</v>
          </cell>
        </row>
        <row r="245">
          <cell r="A245" t="str">
            <v/>
          </cell>
          <cell r="B245" t="str">
            <v>Marek KAMIŃSKI (Nowa Dęba)</v>
          </cell>
          <cell r="H245" t="str">
            <v>K0033</v>
          </cell>
          <cell r="K245" t="str">
            <v>K0001</v>
          </cell>
          <cell r="N245" t="str">
            <v>Marcin KALTENBERG (Tarnobrzeg)</v>
          </cell>
        </row>
        <row r="246">
          <cell r="A246" t="str">
            <v/>
          </cell>
          <cell r="B246" t="str">
            <v/>
          </cell>
          <cell r="H246" t="str">
            <v/>
          </cell>
          <cell r="K246" t="str">
            <v/>
          </cell>
          <cell r="N246" t="str">
            <v/>
          </cell>
        </row>
        <row r="248">
          <cell r="B248" t="str">
            <v>zwycięzca(cy): 21:13,21:16</v>
          </cell>
          <cell r="K248" t="str">
            <v/>
          </cell>
        </row>
        <row r="249">
          <cell r="B249">
            <v>36</v>
          </cell>
          <cell r="C249" t="str">
            <v>dzień turnieju.</v>
          </cell>
          <cell r="I249" t="str">
            <v>Nr meczu</v>
          </cell>
          <cell r="N249" t="str">
            <v>Godz.</v>
          </cell>
          <cell r="R249" t="str">
            <v>S. prow.</v>
          </cell>
          <cell r="AF249" t="str">
            <v>wygrany</v>
          </cell>
          <cell r="AG249" t="str">
            <v>przegrany</v>
          </cell>
        </row>
        <row r="250">
          <cell r="B250" t="str">
            <v>Boisko</v>
          </cell>
          <cell r="C250" t="str">
            <v>Gra</v>
          </cell>
          <cell r="I250">
            <v>36</v>
          </cell>
          <cell r="N250" t="str">
            <v>rozp.</v>
          </cell>
          <cell r="P250" t="str">
            <v>zak.</v>
          </cell>
          <cell r="R250" t="str">
            <v>S. serw.</v>
          </cell>
        </row>
        <row r="251">
          <cell r="A251">
            <v>36</v>
          </cell>
          <cell r="C251" t="str">
            <v>Open</v>
          </cell>
          <cell r="H251">
            <v>0</v>
          </cell>
          <cell r="I251">
            <v>21</v>
          </cell>
          <cell r="J251">
            <v>0</v>
          </cell>
          <cell r="K251">
            <v>21</v>
          </cell>
          <cell r="R251">
            <v>0</v>
          </cell>
          <cell r="S251" t="str">
            <v>godz.11:40</v>
          </cell>
          <cell r="X251">
            <v>36</v>
          </cell>
          <cell r="Y251" t="str">
            <v>Open</v>
          </cell>
          <cell r="Z251" t="str">
            <v>R0008</v>
          </cell>
          <cell r="AA251" t="str">
            <v/>
          </cell>
          <cell r="AB251" t="str">
            <v>K0011</v>
          </cell>
          <cell r="AC251" t="str">
            <v/>
          </cell>
          <cell r="AD251" t="str">
            <v>K0011</v>
          </cell>
          <cell r="AE251" t="str">
            <v/>
          </cell>
          <cell r="AF251" t="str">
            <v>21:0,21:0</v>
          </cell>
          <cell r="AG251" t="str">
            <v>0:21,0:21</v>
          </cell>
          <cell r="AH251" t="str">
            <v/>
          </cell>
          <cell r="AI251">
            <v>0</v>
          </cell>
          <cell r="AJ251">
            <v>21</v>
          </cell>
          <cell r="AK251">
            <v>0</v>
          </cell>
          <cell r="AL251">
            <v>21</v>
          </cell>
          <cell r="AM251">
            <v>0</v>
          </cell>
          <cell r="AN251">
            <v>0</v>
          </cell>
        </row>
        <row r="252">
          <cell r="A252" t="str">
            <v/>
          </cell>
          <cell r="B252" t="str">
            <v>Dawid RZESZUTEK (Mielec)</v>
          </cell>
          <cell r="H252" t="str">
            <v>R0008</v>
          </cell>
          <cell r="K252" t="str">
            <v>K0011</v>
          </cell>
          <cell r="N252" t="str">
            <v>Bartłomiej KOŚMIDER (Szczucin)</v>
          </cell>
        </row>
        <row r="253">
          <cell r="A253" t="str">
            <v/>
          </cell>
          <cell r="B253" t="str">
            <v/>
          </cell>
          <cell r="H253" t="str">
            <v/>
          </cell>
          <cell r="K253" t="str">
            <v/>
          </cell>
          <cell r="N253" t="str">
            <v/>
          </cell>
        </row>
        <row r="255">
          <cell r="B255" t="str">
            <v/>
          </cell>
          <cell r="K255" t="str">
            <v>zwycięzca(cy): 21:0,21:0</v>
          </cell>
        </row>
        <row r="256">
          <cell r="B256">
            <v>37</v>
          </cell>
          <cell r="C256" t="str">
            <v>dzień turnieju.</v>
          </cell>
          <cell r="I256" t="str">
            <v>Nr meczu</v>
          </cell>
          <cell r="N256" t="str">
            <v>Godz.</v>
          </cell>
          <cell r="R256" t="str">
            <v>S. prow.</v>
          </cell>
          <cell r="AF256" t="str">
            <v>wygrany</v>
          </cell>
          <cell r="AG256" t="str">
            <v>przegrany</v>
          </cell>
        </row>
        <row r="257">
          <cell r="B257" t="str">
            <v>Boisko</v>
          </cell>
          <cell r="C257" t="str">
            <v>Gra</v>
          </cell>
          <cell r="I257">
            <v>37</v>
          </cell>
          <cell r="N257" t="str">
            <v>rozp.</v>
          </cell>
          <cell r="P257" t="str">
            <v>zak.</v>
          </cell>
          <cell r="R257" t="str">
            <v>S. serw.</v>
          </cell>
        </row>
        <row r="258">
          <cell r="A258">
            <v>37</v>
          </cell>
          <cell r="C258" t="str">
            <v>Open</v>
          </cell>
          <cell r="H258">
            <v>21</v>
          </cell>
          <cell r="I258">
            <v>12</v>
          </cell>
          <cell r="J258">
            <v>21</v>
          </cell>
          <cell r="K258">
            <v>10</v>
          </cell>
          <cell r="R258">
            <v>0</v>
          </cell>
          <cell r="S258" t="str">
            <v>godz.12:00</v>
          </cell>
          <cell r="X258">
            <v>37</v>
          </cell>
          <cell r="Y258" t="str">
            <v>Open</v>
          </cell>
          <cell r="Z258" t="str">
            <v>S0030</v>
          </cell>
          <cell r="AA258" t="str">
            <v/>
          </cell>
          <cell r="AB258" t="str">
            <v>J0001</v>
          </cell>
          <cell r="AC258" t="str">
            <v/>
          </cell>
          <cell r="AD258" t="str">
            <v>S0030</v>
          </cell>
          <cell r="AE258" t="str">
            <v/>
          </cell>
          <cell r="AF258" t="str">
            <v>21:12,21:10</v>
          </cell>
          <cell r="AG258" t="str">
            <v>12:21,10:21</v>
          </cell>
          <cell r="AH258" t="str">
            <v/>
          </cell>
          <cell r="AI258">
            <v>21</v>
          </cell>
          <cell r="AJ258">
            <v>12</v>
          </cell>
          <cell r="AK258">
            <v>21</v>
          </cell>
          <cell r="AL258">
            <v>10</v>
          </cell>
          <cell r="AM258">
            <v>0</v>
          </cell>
          <cell r="AN258">
            <v>0</v>
          </cell>
        </row>
        <row r="259">
          <cell r="A259" t="str">
            <v/>
          </cell>
          <cell r="B259" t="str">
            <v>Karol SZYMURA (Szczucin)</v>
          </cell>
          <cell r="H259" t="str">
            <v>S0030</v>
          </cell>
          <cell r="K259" t="str">
            <v>J0001</v>
          </cell>
          <cell r="N259" t="str">
            <v>Mateusz JĘDRZEJKO (Rzeszów)</v>
          </cell>
        </row>
        <row r="260">
          <cell r="A260" t="str">
            <v/>
          </cell>
          <cell r="B260" t="str">
            <v/>
          </cell>
          <cell r="H260" t="str">
            <v/>
          </cell>
          <cell r="K260" t="str">
            <v/>
          </cell>
          <cell r="N260" t="str">
            <v/>
          </cell>
        </row>
        <row r="262">
          <cell r="B262" t="str">
            <v>zwycięzca(cy): 21:12,21:10</v>
          </cell>
          <cell r="K262" t="str">
            <v/>
          </cell>
        </row>
        <row r="263">
          <cell r="B263">
            <v>38</v>
          </cell>
          <cell r="C263" t="str">
            <v>dzień turnieju.</v>
          </cell>
          <cell r="I263" t="str">
            <v>Nr meczu</v>
          </cell>
          <cell r="N263" t="str">
            <v>Godz.</v>
          </cell>
          <cell r="R263" t="str">
            <v>S. prow.</v>
          </cell>
          <cell r="AF263" t="str">
            <v>wygrany</v>
          </cell>
          <cell r="AG263" t="str">
            <v>przegrany</v>
          </cell>
        </row>
        <row r="264">
          <cell r="B264" t="str">
            <v>Boisko</v>
          </cell>
          <cell r="C264" t="str">
            <v>Gra</v>
          </cell>
          <cell r="I264">
            <v>38</v>
          </cell>
          <cell r="N264" t="str">
            <v>rozp.</v>
          </cell>
          <cell r="P264" t="str">
            <v>zak.</v>
          </cell>
          <cell r="R264" t="str">
            <v>S. serw.</v>
          </cell>
        </row>
        <row r="265">
          <cell r="A265">
            <v>38</v>
          </cell>
          <cell r="C265" t="str">
            <v>Open</v>
          </cell>
          <cell r="H265">
            <v>14</v>
          </cell>
          <cell r="I265">
            <v>21</v>
          </cell>
          <cell r="J265">
            <v>18</v>
          </cell>
          <cell r="K265">
            <v>21</v>
          </cell>
          <cell r="R265">
            <v>0</v>
          </cell>
          <cell r="S265" t="str">
            <v>godz.12:00</v>
          </cell>
          <cell r="X265">
            <v>38</v>
          </cell>
          <cell r="Y265" t="str">
            <v>Open</v>
          </cell>
          <cell r="Z265" t="str">
            <v>K0011</v>
          </cell>
          <cell r="AA265" t="str">
            <v/>
          </cell>
          <cell r="AB265" t="str">
            <v>K0001</v>
          </cell>
          <cell r="AC265" t="str">
            <v/>
          </cell>
          <cell r="AD265" t="str">
            <v>K0001</v>
          </cell>
          <cell r="AE265" t="str">
            <v/>
          </cell>
          <cell r="AF265" t="str">
            <v>21:14,21:18</v>
          </cell>
          <cell r="AG265" t="str">
            <v>14:21,18:21</v>
          </cell>
          <cell r="AH265" t="str">
            <v/>
          </cell>
          <cell r="AI265">
            <v>14</v>
          </cell>
          <cell r="AJ265">
            <v>21</v>
          </cell>
          <cell r="AK265">
            <v>18</v>
          </cell>
          <cell r="AL265">
            <v>21</v>
          </cell>
          <cell r="AM265">
            <v>0</v>
          </cell>
          <cell r="AN265">
            <v>0</v>
          </cell>
        </row>
        <row r="266">
          <cell r="A266" t="str">
            <v/>
          </cell>
          <cell r="B266" t="str">
            <v>Bartłomiej KOŚMIDER (Szczucin)</v>
          </cell>
          <cell r="H266" t="str">
            <v>K0011</v>
          </cell>
          <cell r="K266" t="str">
            <v>K0001</v>
          </cell>
          <cell r="N266" t="str">
            <v>Marcin KALTENBERG (Tarnobrzeg)</v>
          </cell>
        </row>
        <row r="267">
          <cell r="A267" t="str">
            <v/>
          </cell>
          <cell r="B267" t="str">
            <v/>
          </cell>
          <cell r="H267" t="str">
            <v/>
          </cell>
          <cell r="K267" t="str">
            <v/>
          </cell>
          <cell r="N267" t="str">
            <v/>
          </cell>
        </row>
        <row r="269">
          <cell r="B269" t="str">
            <v/>
          </cell>
          <cell r="K269" t="str">
            <v>zwycięzca(cy): 21:14,21:18</v>
          </cell>
        </row>
        <row r="270">
          <cell r="B270">
            <v>39</v>
          </cell>
          <cell r="C270" t="str">
            <v>dzień turnieju.</v>
          </cell>
          <cell r="I270" t="str">
            <v>Nr meczu</v>
          </cell>
          <cell r="N270" t="str">
            <v>Godz.</v>
          </cell>
          <cell r="R270" t="str">
            <v>S. prow.</v>
          </cell>
          <cell r="AF270" t="str">
            <v>wygrany</v>
          </cell>
          <cell r="AG270" t="str">
            <v>przegrany</v>
          </cell>
        </row>
        <row r="271">
          <cell r="B271" t="str">
            <v>Boisko</v>
          </cell>
          <cell r="C271" t="str">
            <v>Gra</v>
          </cell>
          <cell r="I271">
            <v>39</v>
          </cell>
          <cell r="N271" t="str">
            <v>rozp.</v>
          </cell>
          <cell r="P271" t="str">
            <v>zak.</v>
          </cell>
          <cell r="R271" t="str">
            <v>S. serw.</v>
          </cell>
        </row>
        <row r="272">
          <cell r="A272">
            <v>39</v>
          </cell>
          <cell r="C272" t="str">
            <v>Open</v>
          </cell>
          <cell r="H272">
            <v>21</v>
          </cell>
          <cell r="I272">
            <v>0</v>
          </cell>
          <cell r="J272">
            <v>21</v>
          </cell>
          <cell r="K272">
            <v>0</v>
          </cell>
          <cell r="R272">
            <v>0</v>
          </cell>
          <cell r="S272" t="str">
            <v>godz.12:00</v>
          </cell>
          <cell r="X272">
            <v>39</v>
          </cell>
          <cell r="Y272" t="str">
            <v>Open</v>
          </cell>
          <cell r="Z272" t="str">
            <v>K0033</v>
          </cell>
          <cell r="AA272" t="str">
            <v/>
          </cell>
          <cell r="AB272" t="str">
            <v>R0008</v>
          </cell>
          <cell r="AC272" t="str">
            <v/>
          </cell>
          <cell r="AD272" t="str">
            <v>K0033</v>
          </cell>
          <cell r="AE272" t="str">
            <v/>
          </cell>
          <cell r="AF272" t="str">
            <v>21:0,21:0</v>
          </cell>
          <cell r="AG272" t="str">
            <v>0:21,0:21</v>
          </cell>
          <cell r="AH272" t="str">
            <v/>
          </cell>
          <cell r="AI272">
            <v>21</v>
          </cell>
          <cell r="AJ272">
            <v>0</v>
          </cell>
          <cell r="AK272">
            <v>21</v>
          </cell>
          <cell r="AL272">
            <v>0</v>
          </cell>
          <cell r="AM272">
            <v>0</v>
          </cell>
          <cell r="AN272">
            <v>0</v>
          </cell>
        </row>
        <row r="273">
          <cell r="A273" t="str">
            <v/>
          </cell>
          <cell r="B273" t="str">
            <v>Marek KAMIŃSKI (Nowa Dęba)</v>
          </cell>
          <cell r="H273" t="str">
            <v>K0033</v>
          </cell>
          <cell r="K273" t="str">
            <v>R0008</v>
          </cell>
          <cell r="N273" t="str">
            <v>Dawid RZESZUTEK (Mielec)</v>
          </cell>
        </row>
        <row r="274">
          <cell r="A274" t="str">
            <v/>
          </cell>
          <cell r="B274" t="str">
            <v/>
          </cell>
          <cell r="H274" t="str">
            <v/>
          </cell>
          <cell r="K274" t="str">
            <v/>
          </cell>
          <cell r="N274" t="str">
            <v/>
          </cell>
        </row>
        <row r="276">
          <cell r="B276" t="str">
            <v>zwycięzca(cy): 21:0,21:0</v>
          </cell>
          <cell r="K276" t="str">
            <v/>
          </cell>
        </row>
        <row r="277">
          <cell r="B277">
            <v>40</v>
          </cell>
          <cell r="C277" t="str">
            <v>dzień turnieju.</v>
          </cell>
          <cell r="I277" t="str">
            <v>Nr meczu</v>
          </cell>
          <cell r="N277" t="str">
            <v>Godz.</v>
          </cell>
          <cell r="R277" t="str">
            <v>S. prow.</v>
          </cell>
          <cell r="AF277" t="str">
            <v>wygrany</v>
          </cell>
          <cell r="AG277" t="str">
            <v>przegrany</v>
          </cell>
        </row>
        <row r="278">
          <cell r="B278" t="str">
            <v>Boisko</v>
          </cell>
          <cell r="C278" t="str">
            <v>Gra</v>
          </cell>
          <cell r="I278">
            <v>40</v>
          </cell>
          <cell r="N278" t="str">
            <v>rozp.</v>
          </cell>
          <cell r="P278" t="str">
            <v>zak.</v>
          </cell>
          <cell r="R278" t="str">
            <v>S. serw.</v>
          </cell>
        </row>
        <row r="279">
          <cell r="A279">
            <v>40</v>
          </cell>
          <cell r="C279" t="str">
            <v>Open</v>
          </cell>
          <cell r="H279">
            <v>10</v>
          </cell>
          <cell r="I279">
            <v>21</v>
          </cell>
          <cell r="J279">
            <v>21</v>
          </cell>
          <cell r="K279">
            <v>16</v>
          </cell>
          <cell r="L279">
            <v>16</v>
          </cell>
          <cell r="M279">
            <v>21</v>
          </cell>
          <cell r="R279">
            <v>0</v>
          </cell>
          <cell r="S279" t="str">
            <v>godz.12:00</v>
          </cell>
          <cell r="X279">
            <v>40</v>
          </cell>
          <cell r="Y279" t="str">
            <v>Open</v>
          </cell>
          <cell r="Z279" t="str">
            <v>I0002</v>
          </cell>
          <cell r="AA279" t="str">
            <v/>
          </cell>
          <cell r="AB279" t="str">
            <v>S0030</v>
          </cell>
          <cell r="AC279" t="str">
            <v/>
          </cell>
          <cell r="AD279" t="str">
            <v>S0030</v>
          </cell>
          <cell r="AE279" t="str">
            <v/>
          </cell>
          <cell r="AF279" t="str">
            <v>21:10,16:21,21:16</v>
          </cell>
          <cell r="AG279" t="str">
            <v>10:21,21:16,16:21</v>
          </cell>
          <cell r="AH279" t="str">
            <v/>
          </cell>
          <cell r="AI279">
            <v>10</v>
          </cell>
          <cell r="AJ279">
            <v>21</v>
          </cell>
          <cell r="AK279">
            <v>21</v>
          </cell>
          <cell r="AL279">
            <v>16</v>
          </cell>
          <cell r="AM279">
            <v>16</v>
          </cell>
          <cell r="AN279">
            <v>21</v>
          </cell>
        </row>
        <row r="280">
          <cell r="A280" t="str">
            <v/>
          </cell>
          <cell r="B280" t="str">
            <v>Igor IWAŃSKI (Mielec)</v>
          </cell>
          <cell r="H280" t="str">
            <v>I0002</v>
          </cell>
          <cell r="K280" t="str">
            <v>S0030</v>
          </cell>
          <cell r="N280" t="str">
            <v>Karol SZYMURA (Szczucin)</v>
          </cell>
        </row>
        <row r="281">
          <cell r="A281" t="str">
            <v/>
          </cell>
          <cell r="B281" t="str">
            <v/>
          </cell>
          <cell r="H281" t="str">
            <v/>
          </cell>
          <cell r="K281" t="str">
            <v/>
          </cell>
          <cell r="N281" t="str">
            <v/>
          </cell>
        </row>
        <row r="283">
          <cell r="B283" t="str">
            <v/>
          </cell>
          <cell r="K283" t="str">
            <v>zwycięzca(cy): 21:10,16:21,21:16</v>
          </cell>
        </row>
        <row r="284">
          <cell r="B284">
            <v>41</v>
          </cell>
          <cell r="C284" t="str">
            <v>dzień turnieju.</v>
          </cell>
          <cell r="I284" t="str">
            <v>Nr meczu</v>
          </cell>
          <cell r="N284" t="str">
            <v>Godz.</v>
          </cell>
          <cell r="R284" t="str">
            <v>S. prow.</v>
          </cell>
          <cell r="AF284" t="str">
            <v>wygrany</v>
          </cell>
          <cell r="AG284" t="str">
            <v>przegrany</v>
          </cell>
        </row>
        <row r="285">
          <cell r="B285" t="str">
            <v>Boisko</v>
          </cell>
          <cell r="C285" t="str">
            <v>Gra</v>
          </cell>
          <cell r="I285">
            <v>41</v>
          </cell>
          <cell r="N285" t="str">
            <v>rozp.</v>
          </cell>
          <cell r="P285" t="str">
            <v>zak.</v>
          </cell>
          <cell r="R285" t="str">
            <v>S. serw.</v>
          </cell>
        </row>
        <row r="286">
          <cell r="A286">
            <v>41</v>
          </cell>
          <cell r="C286" t="str">
            <v>Open</v>
          </cell>
          <cell r="H286">
            <v>21</v>
          </cell>
          <cell r="I286">
            <v>17</v>
          </cell>
          <cell r="J286">
            <v>21</v>
          </cell>
          <cell r="K286">
            <v>4</v>
          </cell>
          <cell r="R286">
            <v>0</v>
          </cell>
          <cell r="S286" t="str">
            <v>godz.12:20</v>
          </cell>
          <cell r="X286">
            <v>41</v>
          </cell>
          <cell r="Y286" t="str">
            <v>Open</v>
          </cell>
          <cell r="Z286" t="str">
            <v>K0033</v>
          </cell>
          <cell r="AA286" t="str">
            <v/>
          </cell>
          <cell r="AB286" t="str">
            <v>S0030</v>
          </cell>
          <cell r="AC286" t="str">
            <v/>
          </cell>
          <cell r="AD286" t="str">
            <v>K0033</v>
          </cell>
          <cell r="AE286" t="str">
            <v/>
          </cell>
          <cell r="AF286" t="str">
            <v>21:17,21:4</v>
          </cell>
          <cell r="AG286" t="str">
            <v>17:21,4:21</v>
          </cell>
          <cell r="AH286" t="str">
            <v/>
          </cell>
          <cell r="AI286">
            <v>21</v>
          </cell>
          <cell r="AJ286">
            <v>17</v>
          </cell>
          <cell r="AK286">
            <v>21</v>
          </cell>
          <cell r="AL286">
            <v>4</v>
          </cell>
          <cell r="AM286">
            <v>0</v>
          </cell>
          <cell r="AN286">
            <v>0</v>
          </cell>
        </row>
        <row r="287">
          <cell r="A287" t="str">
            <v/>
          </cell>
          <cell r="B287" t="str">
            <v>Marek KAMIŃSKI (Nowa Dęba)</v>
          </cell>
          <cell r="H287" t="str">
            <v>K0033</v>
          </cell>
          <cell r="K287" t="str">
            <v>S0030</v>
          </cell>
          <cell r="N287" t="str">
            <v>Karol SZYMURA (Szczucin)</v>
          </cell>
        </row>
        <row r="288">
          <cell r="A288" t="str">
            <v/>
          </cell>
          <cell r="B288" t="str">
            <v/>
          </cell>
          <cell r="H288" t="str">
            <v/>
          </cell>
          <cell r="K288" t="str">
            <v/>
          </cell>
          <cell r="N288" t="str">
            <v/>
          </cell>
        </row>
        <row r="290">
          <cell r="B290" t="str">
            <v>zwycięzca(cy): 21:17,21:4</v>
          </cell>
          <cell r="K290" t="str">
            <v/>
          </cell>
        </row>
        <row r="291">
          <cell r="B291">
            <v>42</v>
          </cell>
          <cell r="C291" t="str">
            <v>dzień turnieju.</v>
          </cell>
          <cell r="I291" t="str">
            <v>Nr meczu</v>
          </cell>
          <cell r="N291" t="str">
            <v>Godz.</v>
          </cell>
          <cell r="R291" t="str">
            <v>S. prow.</v>
          </cell>
          <cell r="AF291" t="str">
            <v>wygrany</v>
          </cell>
          <cell r="AG291" t="str">
            <v>przegrany</v>
          </cell>
        </row>
        <row r="292">
          <cell r="B292" t="str">
            <v>Boisko</v>
          </cell>
          <cell r="C292" t="str">
            <v>Gra</v>
          </cell>
          <cell r="I292">
            <v>42</v>
          </cell>
          <cell r="N292" t="str">
            <v>rozp.</v>
          </cell>
          <cell r="P292" t="str">
            <v>zak.</v>
          </cell>
          <cell r="R292" t="str">
            <v>S. serw.</v>
          </cell>
        </row>
        <row r="293">
          <cell r="A293">
            <v>42</v>
          </cell>
          <cell r="C293" t="str">
            <v>Runners Up</v>
          </cell>
          <cell r="H293">
            <v>21</v>
          </cell>
          <cell r="I293">
            <v>17</v>
          </cell>
          <cell r="J293">
            <v>21</v>
          </cell>
          <cell r="K293">
            <v>16</v>
          </cell>
          <cell r="R293">
            <v>0</v>
          </cell>
          <cell r="S293" t="str">
            <v>godz.12:20</v>
          </cell>
          <cell r="X293">
            <v>42</v>
          </cell>
          <cell r="Y293" t="str">
            <v>Runners Up</v>
          </cell>
          <cell r="Z293" t="str">
            <v>S0033</v>
          </cell>
          <cell r="AA293" t="str">
            <v/>
          </cell>
          <cell r="AB293" t="str">
            <v>S0032</v>
          </cell>
          <cell r="AC293" t="str">
            <v/>
          </cell>
          <cell r="AD293" t="str">
            <v>S0033</v>
          </cell>
          <cell r="AE293" t="str">
            <v/>
          </cell>
          <cell r="AF293" t="str">
            <v>21:17,21:16</v>
          </cell>
          <cell r="AG293" t="str">
            <v>17:21,16:21</v>
          </cell>
          <cell r="AH293" t="str">
            <v/>
          </cell>
          <cell r="AI293">
            <v>21</v>
          </cell>
          <cell r="AJ293">
            <v>17</v>
          </cell>
          <cell r="AK293">
            <v>21</v>
          </cell>
          <cell r="AL293">
            <v>16</v>
          </cell>
          <cell r="AM293">
            <v>0</v>
          </cell>
          <cell r="AN293">
            <v>0</v>
          </cell>
        </row>
        <row r="294">
          <cell r="A294" t="str">
            <v/>
          </cell>
          <cell r="B294" t="str">
            <v>Mikołaj STRAŻ (Mielec)</v>
          </cell>
          <cell r="H294" t="str">
            <v>S0033</v>
          </cell>
          <cell r="K294" t="str">
            <v>S0032</v>
          </cell>
          <cell r="N294" t="str">
            <v>Łukasz SZANTULA (Mielec)</v>
          </cell>
        </row>
        <row r="295">
          <cell r="A295" t="str">
            <v/>
          </cell>
          <cell r="B295" t="str">
            <v/>
          </cell>
          <cell r="H295" t="str">
            <v/>
          </cell>
          <cell r="K295" t="str">
            <v/>
          </cell>
          <cell r="N295" t="str">
            <v/>
          </cell>
        </row>
        <row r="297">
          <cell r="B297" t="str">
            <v>zwycięzca(cy): 21:17,21:16</v>
          </cell>
          <cell r="K297" t="str">
            <v/>
          </cell>
        </row>
        <row r="298">
          <cell r="B298">
            <v>43</v>
          </cell>
          <cell r="C298" t="str">
            <v>dzień turnieju.</v>
          </cell>
          <cell r="I298" t="str">
            <v>Nr meczu</v>
          </cell>
          <cell r="N298" t="str">
            <v>Godz.</v>
          </cell>
          <cell r="R298" t="str">
            <v>S. prow.</v>
          </cell>
          <cell r="AF298" t="str">
            <v>wygrany</v>
          </cell>
          <cell r="AG298" t="str">
            <v>przegrany</v>
          </cell>
        </row>
        <row r="299">
          <cell r="B299" t="str">
            <v>Boisko</v>
          </cell>
          <cell r="C299" t="str">
            <v>Gra</v>
          </cell>
          <cell r="I299">
            <v>43</v>
          </cell>
          <cell r="N299" t="str">
            <v>rozp.</v>
          </cell>
          <cell r="P299" t="str">
            <v>zak.</v>
          </cell>
          <cell r="R299" t="str">
            <v>S. serw.</v>
          </cell>
        </row>
        <row r="300">
          <cell r="A300">
            <v>43</v>
          </cell>
          <cell r="C300" t="str">
            <v>Runners Up</v>
          </cell>
          <cell r="H300">
            <v>21</v>
          </cell>
          <cell r="I300">
            <v>12</v>
          </cell>
          <cell r="J300">
            <v>21</v>
          </cell>
          <cell r="K300">
            <v>19</v>
          </cell>
          <cell r="R300">
            <v>0</v>
          </cell>
          <cell r="S300" t="str">
            <v>godz.12:20</v>
          </cell>
          <cell r="X300">
            <v>43</v>
          </cell>
          <cell r="Y300" t="str">
            <v>Runners Up</v>
          </cell>
          <cell r="Z300" t="str">
            <v>S0032</v>
          </cell>
          <cell r="AA300" t="str">
            <v/>
          </cell>
          <cell r="AB300" t="str">
            <v>W0012</v>
          </cell>
          <cell r="AC300" t="str">
            <v/>
          </cell>
          <cell r="AD300" t="str">
            <v>S0032</v>
          </cell>
          <cell r="AE300" t="str">
            <v/>
          </cell>
          <cell r="AF300" t="str">
            <v>21:12,21:19</v>
          </cell>
          <cell r="AG300" t="str">
            <v>12:21,19:21</v>
          </cell>
          <cell r="AH300" t="str">
            <v/>
          </cell>
          <cell r="AI300">
            <v>21</v>
          </cell>
          <cell r="AJ300">
            <v>12</v>
          </cell>
          <cell r="AK300">
            <v>21</v>
          </cell>
          <cell r="AL300">
            <v>19</v>
          </cell>
          <cell r="AM300">
            <v>0</v>
          </cell>
          <cell r="AN300">
            <v>0</v>
          </cell>
        </row>
        <row r="301">
          <cell r="A301" t="str">
            <v/>
          </cell>
          <cell r="B301" t="str">
            <v>Łukasz SZANTULA (Mielec)</v>
          </cell>
          <cell r="H301" t="str">
            <v>S0032</v>
          </cell>
          <cell r="K301" t="str">
            <v>W0012</v>
          </cell>
          <cell r="N301" t="str">
            <v>Tomasz WYDRO (Mielec)</v>
          </cell>
        </row>
        <row r="302">
          <cell r="A302" t="str">
            <v/>
          </cell>
          <cell r="B302" t="str">
            <v/>
          </cell>
          <cell r="H302" t="str">
            <v/>
          </cell>
          <cell r="K302" t="str">
            <v/>
          </cell>
          <cell r="N302" t="str">
            <v/>
          </cell>
        </row>
        <row r="304">
          <cell r="B304" t="str">
            <v>zwycięzca(cy): 21:12,21:19</v>
          </cell>
          <cell r="K304" t="str">
            <v/>
          </cell>
        </row>
        <row r="305">
          <cell r="B305">
            <v>44</v>
          </cell>
          <cell r="C305" t="str">
            <v>dzień turnieju.</v>
          </cell>
          <cell r="I305" t="str">
            <v>Nr meczu</v>
          </cell>
          <cell r="N305" t="str">
            <v>Godz.</v>
          </cell>
          <cell r="R305" t="str">
            <v>S. prow.</v>
          </cell>
          <cell r="AF305" t="str">
            <v>wygrany</v>
          </cell>
          <cell r="AG305" t="str">
            <v>przegrany</v>
          </cell>
        </row>
        <row r="306">
          <cell r="B306" t="str">
            <v>Boisko</v>
          </cell>
          <cell r="C306" t="str">
            <v>Gra</v>
          </cell>
          <cell r="I306">
            <v>44</v>
          </cell>
          <cell r="N306" t="str">
            <v>rozp.</v>
          </cell>
          <cell r="P306" t="str">
            <v>zak.</v>
          </cell>
          <cell r="R306" t="str">
            <v>S. serw.</v>
          </cell>
        </row>
        <row r="307">
          <cell r="A307">
            <v>44</v>
          </cell>
          <cell r="C307" t="str">
            <v>Runners Up</v>
          </cell>
          <cell r="H307">
            <v>21</v>
          </cell>
          <cell r="I307">
            <v>16</v>
          </cell>
          <cell r="J307">
            <v>21</v>
          </cell>
          <cell r="K307">
            <v>11</v>
          </cell>
          <cell r="R307">
            <v>0</v>
          </cell>
          <cell r="S307" t="str">
            <v>godz.12:20</v>
          </cell>
          <cell r="X307">
            <v>44</v>
          </cell>
          <cell r="Y307" t="str">
            <v>Runners Up</v>
          </cell>
          <cell r="Z307" t="str">
            <v>K0012</v>
          </cell>
          <cell r="AA307" t="str">
            <v/>
          </cell>
          <cell r="AB307" t="str">
            <v>S0033</v>
          </cell>
          <cell r="AC307" t="str">
            <v/>
          </cell>
          <cell r="AD307" t="str">
            <v>K0012</v>
          </cell>
          <cell r="AE307" t="str">
            <v/>
          </cell>
          <cell r="AF307" t="str">
            <v>21:16,21:11</v>
          </cell>
          <cell r="AG307" t="str">
            <v>16:21,11:21</v>
          </cell>
          <cell r="AH307" t="str">
            <v/>
          </cell>
          <cell r="AI307">
            <v>21</v>
          </cell>
          <cell r="AJ307">
            <v>16</v>
          </cell>
          <cell r="AK307">
            <v>21</v>
          </cell>
          <cell r="AL307">
            <v>11</v>
          </cell>
          <cell r="AM307">
            <v>0</v>
          </cell>
          <cell r="AN307">
            <v>0</v>
          </cell>
        </row>
        <row r="308">
          <cell r="A308" t="str">
            <v/>
          </cell>
          <cell r="B308" t="str">
            <v>Piotr KOTERBA (Rzeszów)</v>
          </cell>
          <cell r="H308" t="str">
            <v>K0012</v>
          </cell>
          <cell r="K308" t="str">
            <v>S0033</v>
          </cell>
          <cell r="N308" t="str">
            <v>Mikołaj STRAŻ (Mielec)</v>
          </cell>
        </row>
        <row r="309">
          <cell r="A309" t="str">
            <v/>
          </cell>
          <cell r="B309" t="str">
            <v/>
          </cell>
          <cell r="H309" t="str">
            <v/>
          </cell>
          <cell r="K309" t="str">
            <v/>
          </cell>
          <cell r="N309" t="str">
            <v/>
          </cell>
        </row>
        <row r="311">
          <cell r="B311" t="str">
            <v>zwycięzca(cy): 21:16,21:11</v>
          </cell>
          <cell r="K311" t="str">
            <v/>
          </cell>
        </row>
        <row r="312">
          <cell r="B312">
            <v>45</v>
          </cell>
          <cell r="C312" t="str">
            <v>dzień turnieju.</v>
          </cell>
          <cell r="I312" t="str">
            <v>Nr meczu</v>
          </cell>
          <cell r="N312" t="str">
            <v>Godz.</v>
          </cell>
          <cell r="R312" t="str">
            <v>S. prow.</v>
          </cell>
          <cell r="AF312" t="str">
            <v>wygrany</v>
          </cell>
          <cell r="AG312" t="str">
            <v>przegrany</v>
          </cell>
        </row>
        <row r="313">
          <cell r="B313" t="str">
            <v>Boisko</v>
          </cell>
          <cell r="C313" t="str">
            <v>Gra</v>
          </cell>
          <cell r="I313">
            <v>45</v>
          </cell>
          <cell r="N313" t="str">
            <v>rozp.</v>
          </cell>
          <cell r="P313" t="str">
            <v>zak.</v>
          </cell>
          <cell r="R313" t="str">
            <v>S. serw.</v>
          </cell>
        </row>
        <row r="314">
          <cell r="A314">
            <v>45</v>
          </cell>
          <cell r="C314" t="str">
            <v>Podwójna</v>
          </cell>
          <cell r="H314">
            <v>21</v>
          </cell>
          <cell r="I314">
            <v>4</v>
          </cell>
          <cell r="J314">
            <v>21</v>
          </cell>
          <cell r="K314">
            <v>8</v>
          </cell>
          <cell r="R314">
            <v>0</v>
          </cell>
          <cell r="S314" t="str">
            <v>godz.12:40</v>
          </cell>
          <cell r="X314">
            <v>45</v>
          </cell>
          <cell r="Y314" t="str">
            <v>Podwójna</v>
          </cell>
          <cell r="Z314" t="str">
            <v>B0009</v>
          </cell>
          <cell r="AA314" t="str">
            <v>K0033</v>
          </cell>
          <cell r="AB314" t="str">
            <v>S0033</v>
          </cell>
          <cell r="AC314" t="str">
            <v>S0032</v>
          </cell>
          <cell r="AD314" t="str">
            <v>B0009</v>
          </cell>
          <cell r="AE314" t="str">
            <v>K0033</v>
          </cell>
          <cell r="AF314" t="str">
            <v>21:4,21:8</v>
          </cell>
          <cell r="AG314" t="str">
            <v>4:21,8:21</v>
          </cell>
          <cell r="AH314" t="str">
            <v/>
          </cell>
          <cell r="AI314">
            <v>21</v>
          </cell>
          <cell r="AJ314">
            <v>4</v>
          </cell>
          <cell r="AK314">
            <v>21</v>
          </cell>
          <cell r="AL314">
            <v>8</v>
          </cell>
          <cell r="AM314">
            <v>0</v>
          </cell>
          <cell r="AN314">
            <v>0</v>
          </cell>
        </row>
        <row r="315">
          <cell r="A315" t="str">
            <v/>
          </cell>
          <cell r="B315" t="str">
            <v>Adam BUNIO (Nowa Dęba)</v>
          </cell>
          <cell r="H315" t="str">
            <v>B0009</v>
          </cell>
          <cell r="K315" t="str">
            <v>S0033</v>
          </cell>
          <cell r="N315" t="str">
            <v>Mikołaj STRAŻ (Mielec)</v>
          </cell>
        </row>
        <row r="316">
          <cell r="A316" t="str">
            <v/>
          </cell>
          <cell r="B316" t="str">
            <v>Marek KAMIŃSKI (Nowa Dęba)</v>
          </cell>
          <cell r="H316" t="str">
            <v>K0033</v>
          </cell>
          <cell r="K316" t="str">
            <v>S0032</v>
          </cell>
          <cell r="N316" t="str">
            <v>Łukasz SZANTULA (Mielec)</v>
          </cell>
        </row>
        <row r="318">
          <cell r="B318" t="str">
            <v>zwycięzca(cy): 21:4,21:8</v>
          </cell>
          <cell r="K318" t="str">
            <v/>
          </cell>
        </row>
        <row r="319">
          <cell r="B319">
            <v>46</v>
          </cell>
          <cell r="C319" t="str">
            <v>dzień turnieju.</v>
          </cell>
          <cell r="I319" t="str">
            <v>Nr meczu</v>
          </cell>
          <cell r="N319" t="str">
            <v>Godz.</v>
          </cell>
          <cell r="R319" t="str">
            <v>S. prow.</v>
          </cell>
          <cell r="AF319" t="str">
            <v>wygrany</v>
          </cell>
          <cell r="AG319" t="str">
            <v>przegrany</v>
          </cell>
        </row>
        <row r="320">
          <cell r="B320" t="str">
            <v>Boisko</v>
          </cell>
          <cell r="C320" t="str">
            <v>Gra</v>
          </cell>
          <cell r="I320">
            <v>46</v>
          </cell>
          <cell r="N320" t="str">
            <v>rozp.</v>
          </cell>
          <cell r="P320" t="str">
            <v>zak.</v>
          </cell>
          <cell r="R320" t="str">
            <v>S. serw.</v>
          </cell>
        </row>
        <row r="321">
          <cell r="A321">
            <v>46</v>
          </cell>
          <cell r="C321" t="str">
            <v>Podwójna</v>
          </cell>
          <cell r="H321">
            <v>12</v>
          </cell>
          <cell r="I321">
            <v>21</v>
          </cell>
          <cell r="J321">
            <v>13</v>
          </cell>
          <cell r="K321">
            <v>21</v>
          </cell>
          <cell r="R321">
            <v>0</v>
          </cell>
          <cell r="S321" t="str">
            <v>godz.12:40</v>
          </cell>
          <cell r="X321">
            <v>46</v>
          </cell>
          <cell r="Y321" t="str">
            <v>Podwójna</v>
          </cell>
          <cell r="Z321" t="str">
            <v>K0012</v>
          </cell>
          <cell r="AA321" t="str">
            <v>D0008</v>
          </cell>
          <cell r="AB321" t="str">
            <v>K0001</v>
          </cell>
          <cell r="AC321" t="str">
            <v>M0023</v>
          </cell>
          <cell r="AD321" t="str">
            <v>K0001</v>
          </cell>
          <cell r="AE321" t="str">
            <v>M0023</v>
          </cell>
          <cell r="AF321" t="str">
            <v>21:12,21:13</v>
          </cell>
          <cell r="AG321" t="str">
            <v>12:21,13:21</v>
          </cell>
          <cell r="AH321" t="str">
            <v/>
          </cell>
          <cell r="AI321">
            <v>12</v>
          </cell>
          <cell r="AJ321">
            <v>21</v>
          </cell>
          <cell r="AK321">
            <v>13</v>
          </cell>
          <cell r="AL321">
            <v>21</v>
          </cell>
          <cell r="AM321">
            <v>0</v>
          </cell>
          <cell r="AN321">
            <v>0</v>
          </cell>
        </row>
        <row r="322">
          <cell r="A322" t="str">
            <v/>
          </cell>
          <cell r="B322" t="str">
            <v>Piotr KOTERBA (Rzeszów)</v>
          </cell>
          <cell r="H322" t="str">
            <v>K0012</v>
          </cell>
          <cell r="K322" t="str">
            <v>K0001</v>
          </cell>
          <cell r="N322" t="str">
            <v>Marcin KALTENBERG (Tarnobrzeg)</v>
          </cell>
        </row>
        <row r="323">
          <cell r="A323" t="str">
            <v/>
          </cell>
          <cell r="B323" t="str">
            <v>Patrycja DOMAŃSKA (Rzeszów)</v>
          </cell>
          <cell r="H323" t="str">
            <v>D0008</v>
          </cell>
          <cell r="K323" t="str">
            <v>M0023</v>
          </cell>
          <cell r="N323" t="str">
            <v>Tymoteusz MALIK (Tarnobrzeg)</v>
          </cell>
        </row>
        <row r="325">
          <cell r="B325" t="str">
            <v/>
          </cell>
          <cell r="K325" t="str">
            <v>zwycięzca(cy): 21:12,21:13</v>
          </cell>
        </row>
        <row r="326">
          <cell r="B326">
            <v>47</v>
          </cell>
          <cell r="C326" t="str">
            <v>dzień turnieju.</v>
          </cell>
          <cell r="I326" t="str">
            <v>Nr meczu</v>
          </cell>
          <cell r="N326" t="str">
            <v>Godz.</v>
          </cell>
          <cell r="R326" t="str">
            <v>S. prow.</v>
          </cell>
          <cell r="AF326" t="str">
            <v>wygrany</v>
          </cell>
          <cell r="AG326" t="str">
            <v>przegrany</v>
          </cell>
        </row>
        <row r="327">
          <cell r="B327" t="str">
            <v>Boisko</v>
          </cell>
          <cell r="C327" t="str">
            <v>Gra</v>
          </cell>
          <cell r="I327">
            <v>47</v>
          </cell>
          <cell r="N327" t="str">
            <v>rozp.</v>
          </cell>
          <cell r="P327" t="str">
            <v>zak.</v>
          </cell>
          <cell r="R327" t="str">
            <v>S. serw.</v>
          </cell>
        </row>
        <row r="328">
          <cell r="A328">
            <v>47</v>
          </cell>
          <cell r="C328" t="str">
            <v>Podwójna</v>
          </cell>
          <cell r="H328">
            <v>21</v>
          </cell>
          <cell r="I328">
            <v>18</v>
          </cell>
          <cell r="J328">
            <v>19</v>
          </cell>
          <cell r="K328">
            <v>21</v>
          </cell>
          <cell r="L328">
            <v>22</v>
          </cell>
          <cell r="M328">
            <v>24</v>
          </cell>
          <cell r="R328">
            <v>0</v>
          </cell>
          <cell r="S328" t="str">
            <v>godz.12:40</v>
          </cell>
          <cell r="X328">
            <v>47</v>
          </cell>
          <cell r="Y328" t="str">
            <v>Podwójna</v>
          </cell>
          <cell r="Z328" t="str">
            <v>K0011</v>
          </cell>
          <cell r="AA328" t="str">
            <v>S0030</v>
          </cell>
          <cell r="AB328" t="str">
            <v>I0002</v>
          </cell>
          <cell r="AC328" t="str">
            <v>J0001</v>
          </cell>
          <cell r="AD328" t="str">
            <v>I0002</v>
          </cell>
          <cell r="AE328" t="str">
            <v>J0001</v>
          </cell>
          <cell r="AF328" t="str">
            <v>18:21,21:19,24:22</v>
          </cell>
          <cell r="AG328" t="str">
            <v>21:18,19:21,22:24</v>
          </cell>
          <cell r="AH328" t="str">
            <v/>
          </cell>
          <cell r="AI328">
            <v>21</v>
          </cell>
          <cell r="AJ328">
            <v>18</v>
          </cell>
          <cell r="AK328">
            <v>19</v>
          </cell>
          <cell r="AL328">
            <v>21</v>
          </cell>
          <cell r="AM328">
            <v>22</v>
          </cell>
          <cell r="AN328">
            <v>24</v>
          </cell>
        </row>
        <row r="329">
          <cell r="A329" t="str">
            <v/>
          </cell>
          <cell r="B329" t="str">
            <v>Bartłomiej KOŚMIDER (Szczucin)</v>
          </cell>
          <cell r="H329" t="str">
            <v>K0011</v>
          </cell>
          <cell r="K329" t="str">
            <v>I0002</v>
          </cell>
          <cell r="N329" t="str">
            <v>Igor IWAŃSKI (Mielec)</v>
          </cell>
        </row>
        <row r="330">
          <cell r="A330" t="str">
            <v/>
          </cell>
          <cell r="B330" t="str">
            <v>Karol SZYMURA (Szczucin)</v>
          </cell>
          <cell r="H330" t="str">
            <v>S0030</v>
          </cell>
          <cell r="K330" t="str">
            <v>J0001</v>
          </cell>
          <cell r="N330" t="str">
            <v>Mateusz JĘDRZEJKO (Rzeszów)</v>
          </cell>
        </row>
        <row r="332">
          <cell r="B332" t="str">
            <v/>
          </cell>
          <cell r="K332" t="str">
            <v>zwycięzca(cy): 18:21,21:19,24:22</v>
          </cell>
        </row>
        <row r="333">
          <cell r="B333">
            <v>48</v>
          </cell>
          <cell r="C333" t="str">
            <v>dzień turnieju.</v>
          </cell>
          <cell r="I333" t="str">
            <v>Nr meczu</v>
          </cell>
          <cell r="N333" t="str">
            <v>Godz.</v>
          </cell>
          <cell r="R333" t="str">
            <v>S. prow.</v>
          </cell>
          <cell r="AF333" t="str">
            <v>wygrany</v>
          </cell>
          <cell r="AG333" t="str">
            <v>przegrany</v>
          </cell>
        </row>
        <row r="334">
          <cell r="B334" t="str">
            <v>Boisko</v>
          </cell>
          <cell r="C334" t="str">
            <v>Gra</v>
          </cell>
          <cell r="I334">
            <v>48</v>
          </cell>
          <cell r="N334" t="str">
            <v>rozp.</v>
          </cell>
          <cell r="P334" t="str">
            <v>zak.</v>
          </cell>
          <cell r="R334" t="str">
            <v>S. serw.</v>
          </cell>
        </row>
        <row r="335">
          <cell r="A335">
            <v>48</v>
          </cell>
          <cell r="C335" t="str">
            <v>Podwójna</v>
          </cell>
          <cell r="H335">
            <v>18</v>
          </cell>
          <cell r="I335">
            <v>21</v>
          </cell>
          <cell r="J335">
            <v>14</v>
          </cell>
          <cell r="K335">
            <v>21</v>
          </cell>
          <cell r="R335">
            <v>0</v>
          </cell>
          <cell r="S335" t="str">
            <v>godz.12:40</v>
          </cell>
          <cell r="X335">
            <v>48</v>
          </cell>
          <cell r="Y335" t="str">
            <v>Podwójna</v>
          </cell>
          <cell r="Z335" t="str">
            <v>P0021</v>
          </cell>
          <cell r="AA335" t="str">
            <v>S0034</v>
          </cell>
          <cell r="AB335" t="str">
            <v>S0033</v>
          </cell>
          <cell r="AC335" t="str">
            <v>S0032</v>
          </cell>
          <cell r="AD335" t="str">
            <v>S0033</v>
          </cell>
          <cell r="AE335" t="str">
            <v>S0032</v>
          </cell>
          <cell r="AF335" t="str">
            <v>21:18,21:14</v>
          </cell>
          <cell r="AG335" t="str">
            <v>18:21,14:21</v>
          </cell>
          <cell r="AH335" t="str">
            <v/>
          </cell>
          <cell r="AI335">
            <v>18</v>
          </cell>
          <cell r="AJ335">
            <v>21</v>
          </cell>
          <cell r="AK335">
            <v>14</v>
          </cell>
          <cell r="AL335">
            <v>21</v>
          </cell>
          <cell r="AM335">
            <v>0</v>
          </cell>
          <cell r="AN335">
            <v>0</v>
          </cell>
        </row>
        <row r="336">
          <cell r="A336" t="str">
            <v/>
          </cell>
          <cell r="B336" t="str">
            <v>Mikołaj POLAŃSKI (Rzeszów)</v>
          </cell>
          <cell r="H336" t="str">
            <v>P0021</v>
          </cell>
          <cell r="K336" t="str">
            <v>S0033</v>
          </cell>
          <cell r="N336" t="str">
            <v>Mikołaj STRAŻ (Mielec)</v>
          </cell>
        </row>
        <row r="337">
          <cell r="A337" t="str">
            <v/>
          </cell>
          <cell r="B337" t="str">
            <v>Jakub SITEK (Rzeszów)</v>
          </cell>
          <cell r="H337" t="str">
            <v>S0034</v>
          </cell>
          <cell r="K337" t="str">
            <v>S0032</v>
          </cell>
          <cell r="N337" t="str">
            <v>Łukasz SZANTULA (Mielec)</v>
          </cell>
        </row>
        <row r="339">
          <cell r="B339" t="str">
            <v/>
          </cell>
          <cell r="K339" t="str">
            <v>zwycięzca(cy): 21:18,21:14</v>
          </cell>
        </row>
        <row r="340">
          <cell r="B340">
            <v>49</v>
          </cell>
          <cell r="C340" t="str">
            <v>dzień turnieju.</v>
          </cell>
          <cell r="I340" t="str">
            <v>Nr meczu</v>
          </cell>
          <cell r="N340" t="str">
            <v>Godz.</v>
          </cell>
          <cell r="R340" t="str">
            <v>S. prow.</v>
          </cell>
          <cell r="AF340" t="str">
            <v>wygrany</v>
          </cell>
          <cell r="AG340" t="str">
            <v>przegrany</v>
          </cell>
        </row>
        <row r="341">
          <cell r="B341" t="str">
            <v>Boisko</v>
          </cell>
          <cell r="C341" t="str">
            <v>Gra</v>
          </cell>
          <cell r="I341">
            <v>49</v>
          </cell>
          <cell r="N341" t="str">
            <v>rozp.</v>
          </cell>
          <cell r="P341" t="str">
            <v>zak.</v>
          </cell>
          <cell r="R341" t="str">
            <v>S. serw.</v>
          </cell>
        </row>
        <row r="342">
          <cell r="A342">
            <v>49</v>
          </cell>
          <cell r="C342" t="str">
            <v>Podwójna</v>
          </cell>
          <cell r="H342">
            <v>8</v>
          </cell>
          <cell r="I342">
            <v>21</v>
          </cell>
          <cell r="J342">
            <v>9</v>
          </cell>
          <cell r="K342">
            <v>21</v>
          </cell>
          <cell r="R342">
            <v>0</v>
          </cell>
          <cell r="S342" t="str">
            <v>godz.13:00</v>
          </cell>
          <cell r="X342">
            <v>49</v>
          </cell>
          <cell r="Y342" t="str">
            <v>Podwójna</v>
          </cell>
          <cell r="Z342" t="str">
            <v>N0002</v>
          </cell>
          <cell r="AA342" t="str">
            <v>S0020</v>
          </cell>
          <cell r="AB342" t="str">
            <v>K0001</v>
          </cell>
          <cell r="AC342" t="str">
            <v>M0023</v>
          </cell>
          <cell r="AD342" t="str">
            <v>K0001</v>
          </cell>
          <cell r="AE342" t="str">
            <v>M0023</v>
          </cell>
          <cell r="AF342" t="str">
            <v>21:8,21:9</v>
          </cell>
          <cell r="AG342" t="str">
            <v>8:21,9:21</v>
          </cell>
          <cell r="AH342" t="str">
            <v/>
          </cell>
          <cell r="AI342">
            <v>8</v>
          </cell>
          <cell r="AJ342">
            <v>21</v>
          </cell>
          <cell r="AK342">
            <v>9</v>
          </cell>
          <cell r="AL342">
            <v>21</v>
          </cell>
          <cell r="AM342">
            <v>0</v>
          </cell>
          <cell r="AN342">
            <v>0</v>
          </cell>
        </row>
        <row r="343">
          <cell r="A343" t="str">
            <v/>
          </cell>
          <cell r="B343" t="str">
            <v>Robert NOWAK (Mielec)</v>
          </cell>
          <cell r="H343" t="str">
            <v>N0002</v>
          </cell>
          <cell r="K343" t="str">
            <v>K0001</v>
          </cell>
          <cell r="N343" t="str">
            <v>Marcin KALTENBERG (Tarnobrzeg)</v>
          </cell>
        </row>
        <row r="344">
          <cell r="A344" t="str">
            <v/>
          </cell>
          <cell r="B344" t="str">
            <v>Mariusz SŁOMBA (Mielec)</v>
          </cell>
          <cell r="H344" t="str">
            <v>S0020</v>
          </cell>
          <cell r="K344" t="str">
            <v>M0023</v>
          </cell>
          <cell r="N344" t="str">
            <v>Tymoteusz MALIK (Tarnobrzeg)</v>
          </cell>
        </row>
        <row r="346">
          <cell r="B346" t="str">
            <v/>
          </cell>
          <cell r="K346" t="str">
            <v>zwycięzca(cy): 21:8,21:9</v>
          </cell>
        </row>
        <row r="347">
          <cell r="B347">
            <v>50</v>
          </cell>
          <cell r="C347" t="str">
            <v>dzień turnieju.</v>
          </cell>
          <cell r="I347" t="str">
            <v>Nr meczu</v>
          </cell>
          <cell r="N347" t="str">
            <v>Godz.</v>
          </cell>
          <cell r="R347" t="str">
            <v>S. prow.</v>
          </cell>
          <cell r="AF347" t="str">
            <v>wygrany</v>
          </cell>
          <cell r="AG347" t="str">
            <v>przegrany</v>
          </cell>
        </row>
        <row r="348">
          <cell r="B348" t="str">
            <v>Boisko</v>
          </cell>
          <cell r="C348" t="str">
            <v>Gra</v>
          </cell>
          <cell r="I348">
            <v>50</v>
          </cell>
          <cell r="N348" t="str">
            <v>rozp.</v>
          </cell>
          <cell r="P348" t="str">
            <v>zak.</v>
          </cell>
          <cell r="R348" t="str">
            <v>S. serw.</v>
          </cell>
        </row>
        <row r="349">
          <cell r="A349">
            <v>50</v>
          </cell>
          <cell r="C349" t="str">
            <v>Podwójna</v>
          </cell>
          <cell r="H349">
            <v>10</v>
          </cell>
          <cell r="I349">
            <v>21</v>
          </cell>
          <cell r="J349">
            <v>5</v>
          </cell>
          <cell r="K349">
            <v>21</v>
          </cell>
          <cell r="R349">
            <v>0</v>
          </cell>
          <cell r="S349" t="str">
            <v>godz.13:00</v>
          </cell>
          <cell r="X349">
            <v>50</v>
          </cell>
          <cell r="Y349" t="str">
            <v>Podwójna</v>
          </cell>
          <cell r="Z349" t="str">
            <v>M0026</v>
          </cell>
          <cell r="AA349" t="str">
            <v>S0029</v>
          </cell>
          <cell r="AB349" t="str">
            <v>I0002</v>
          </cell>
          <cell r="AC349" t="str">
            <v>J0001</v>
          </cell>
          <cell r="AD349" t="str">
            <v>I0002</v>
          </cell>
          <cell r="AE349" t="str">
            <v>J0001</v>
          </cell>
          <cell r="AF349" t="str">
            <v>21:10,21:5</v>
          </cell>
          <cell r="AG349" t="str">
            <v>10:21,5:21</v>
          </cell>
          <cell r="AH349" t="str">
            <v/>
          </cell>
          <cell r="AI349">
            <v>10</v>
          </cell>
          <cell r="AJ349">
            <v>21</v>
          </cell>
          <cell r="AK349">
            <v>5</v>
          </cell>
          <cell r="AL349">
            <v>21</v>
          </cell>
          <cell r="AM349">
            <v>0</v>
          </cell>
          <cell r="AN349">
            <v>0</v>
          </cell>
        </row>
        <row r="350">
          <cell r="A350" t="str">
            <v/>
          </cell>
          <cell r="B350" t="str">
            <v>Wojciech MACHAJ (Mielec)</v>
          </cell>
          <cell r="H350" t="str">
            <v>M0026</v>
          </cell>
          <cell r="K350" t="str">
            <v>I0002</v>
          </cell>
          <cell r="N350" t="str">
            <v>Igor IWAŃSKI (Mielec)</v>
          </cell>
        </row>
        <row r="351">
          <cell r="A351" t="str">
            <v/>
          </cell>
          <cell r="B351" t="str">
            <v>Patryk STOLARZ (Mielec)</v>
          </cell>
          <cell r="H351" t="str">
            <v>S0029</v>
          </cell>
          <cell r="K351" t="str">
            <v>J0001</v>
          </cell>
          <cell r="N351" t="str">
            <v>Mateusz JĘDRZEJKO (Rzeszów)</v>
          </cell>
        </row>
        <row r="353">
          <cell r="B353" t="str">
            <v/>
          </cell>
          <cell r="K353" t="str">
            <v>zwycięzca(cy): 21:10,21:5</v>
          </cell>
        </row>
        <row r="354">
          <cell r="B354">
            <v>51</v>
          </cell>
          <cell r="C354" t="str">
            <v>dzień turnieju.</v>
          </cell>
          <cell r="I354" t="str">
            <v>Nr meczu</v>
          </cell>
          <cell r="N354" t="str">
            <v>Godz.</v>
          </cell>
          <cell r="R354" t="str">
            <v>S. prow.</v>
          </cell>
          <cell r="AF354" t="str">
            <v>wygrany</v>
          </cell>
          <cell r="AG354" t="str">
            <v>przegrany</v>
          </cell>
        </row>
        <row r="355">
          <cell r="B355" t="str">
            <v>Boisko</v>
          </cell>
          <cell r="C355" t="str">
            <v>Gra</v>
          </cell>
          <cell r="I355">
            <v>51</v>
          </cell>
          <cell r="N355" t="str">
            <v>rozp.</v>
          </cell>
          <cell r="P355" t="str">
            <v>zak.</v>
          </cell>
          <cell r="R355" t="str">
            <v>S. serw.</v>
          </cell>
        </row>
        <row r="356">
          <cell r="A356">
            <v>51</v>
          </cell>
          <cell r="C356" t="str">
            <v>Podwójna</v>
          </cell>
          <cell r="H356">
            <v>21</v>
          </cell>
          <cell r="I356">
            <v>5</v>
          </cell>
          <cell r="J356">
            <v>21</v>
          </cell>
          <cell r="K356">
            <v>6</v>
          </cell>
          <cell r="R356">
            <v>0</v>
          </cell>
          <cell r="S356" t="str">
            <v>godz.13:00</v>
          </cell>
          <cell r="X356">
            <v>51</v>
          </cell>
          <cell r="Y356" t="str">
            <v>Podwójna</v>
          </cell>
          <cell r="Z356" t="str">
            <v>B0009</v>
          </cell>
          <cell r="AA356" t="str">
            <v>K0033</v>
          </cell>
          <cell r="AB356" t="str">
            <v>P0021</v>
          </cell>
          <cell r="AC356" t="str">
            <v>S0034</v>
          </cell>
          <cell r="AD356" t="str">
            <v>B0009</v>
          </cell>
          <cell r="AE356" t="str">
            <v>K0033</v>
          </cell>
          <cell r="AF356" t="str">
            <v>21:5,21:6</v>
          </cell>
          <cell r="AG356" t="str">
            <v>5:21,6:21</v>
          </cell>
          <cell r="AH356" t="str">
            <v/>
          </cell>
          <cell r="AI356">
            <v>21</v>
          </cell>
          <cell r="AJ356">
            <v>5</v>
          </cell>
          <cell r="AK356">
            <v>21</v>
          </cell>
          <cell r="AL356">
            <v>6</v>
          </cell>
          <cell r="AM356">
            <v>0</v>
          </cell>
          <cell r="AN356">
            <v>0</v>
          </cell>
        </row>
        <row r="357">
          <cell r="A357" t="str">
            <v/>
          </cell>
          <cell r="B357" t="str">
            <v>Adam BUNIO (Nowa Dęba)</v>
          </cell>
          <cell r="H357" t="str">
            <v>B0009</v>
          </cell>
          <cell r="K357" t="str">
            <v>P0021</v>
          </cell>
          <cell r="N357" t="str">
            <v>Mikołaj POLAŃSKI (Rzeszów)</v>
          </cell>
        </row>
        <row r="358">
          <cell r="A358" t="str">
            <v/>
          </cell>
          <cell r="B358" t="str">
            <v>Marek KAMIŃSKI (Nowa Dęba)</v>
          </cell>
          <cell r="H358" t="str">
            <v>K0033</v>
          </cell>
          <cell r="K358" t="str">
            <v>S0034</v>
          </cell>
          <cell r="N358" t="str">
            <v>Jakub SITEK (Rzeszów)</v>
          </cell>
        </row>
        <row r="360">
          <cell r="B360" t="str">
            <v>zwycięzca(cy): 21:5,21:6</v>
          </cell>
          <cell r="K360" t="str">
            <v/>
          </cell>
        </row>
        <row r="361">
          <cell r="B361">
            <v>52</v>
          </cell>
          <cell r="C361" t="str">
            <v>dzień turnieju.</v>
          </cell>
          <cell r="I361" t="str">
            <v>Nr meczu</v>
          </cell>
          <cell r="N361" t="str">
            <v>Godz.</v>
          </cell>
          <cell r="R361" t="str">
            <v>S. prow.</v>
          </cell>
          <cell r="AF361" t="str">
            <v>wygrany</v>
          </cell>
          <cell r="AG361" t="str">
            <v>przegrany</v>
          </cell>
        </row>
        <row r="362">
          <cell r="B362" t="str">
            <v>Boisko</v>
          </cell>
          <cell r="C362" t="str">
            <v>Gra</v>
          </cell>
          <cell r="I362">
            <v>52</v>
          </cell>
          <cell r="N362" t="str">
            <v>rozp.</v>
          </cell>
          <cell r="P362" t="str">
            <v>zak.</v>
          </cell>
          <cell r="R362" t="str">
            <v>S. serw.</v>
          </cell>
        </row>
        <row r="363">
          <cell r="A363">
            <v>52</v>
          </cell>
          <cell r="C363" t="str">
            <v>Podwójna</v>
          </cell>
          <cell r="H363">
            <v>13</v>
          </cell>
          <cell r="I363">
            <v>21</v>
          </cell>
          <cell r="J363">
            <v>18</v>
          </cell>
          <cell r="K363">
            <v>21</v>
          </cell>
          <cell r="R363">
            <v>0</v>
          </cell>
          <cell r="S363" t="str">
            <v>godz.13:00</v>
          </cell>
          <cell r="X363">
            <v>52</v>
          </cell>
          <cell r="Y363" t="str">
            <v>Podwójna</v>
          </cell>
          <cell r="Z363" t="str">
            <v>K0012</v>
          </cell>
          <cell r="AA363" t="str">
            <v>D0008</v>
          </cell>
          <cell r="AB363" t="str">
            <v>N0002</v>
          </cell>
          <cell r="AC363" t="str">
            <v>S0020</v>
          </cell>
          <cell r="AD363" t="str">
            <v>N0002</v>
          </cell>
          <cell r="AE363" t="str">
            <v>S0020</v>
          </cell>
          <cell r="AF363" t="str">
            <v>21:13,21:18</v>
          </cell>
          <cell r="AG363" t="str">
            <v>13:21,18:21</v>
          </cell>
          <cell r="AH363" t="str">
            <v/>
          </cell>
          <cell r="AI363">
            <v>13</v>
          </cell>
          <cell r="AJ363">
            <v>21</v>
          </cell>
          <cell r="AK363">
            <v>18</v>
          </cell>
          <cell r="AL363">
            <v>21</v>
          </cell>
          <cell r="AM363">
            <v>0</v>
          </cell>
          <cell r="AN363">
            <v>0</v>
          </cell>
        </row>
        <row r="364">
          <cell r="A364" t="str">
            <v/>
          </cell>
          <cell r="B364" t="str">
            <v>Piotr KOTERBA (Rzeszów)</v>
          </cell>
          <cell r="H364" t="str">
            <v>K0012</v>
          </cell>
          <cell r="K364" t="str">
            <v>N0002</v>
          </cell>
          <cell r="N364" t="str">
            <v>Robert NOWAK (Mielec)</v>
          </cell>
        </row>
        <row r="365">
          <cell r="A365" t="str">
            <v/>
          </cell>
          <cell r="B365" t="str">
            <v>Patrycja DOMAŃSKA (Rzeszów)</v>
          </cell>
          <cell r="H365" t="str">
            <v>D0008</v>
          </cell>
          <cell r="K365" t="str">
            <v>S0020</v>
          </cell>
          <cell r="N365" t="str">
            <v>Mariusz SŁOMBA (Mielec)</v>
          </cell>
        </row>
        <row r="367">
          <cell r="B367" t="str">
            <v/>
          </cell>
          <cell r="K367" t="str">
            <v>zwycięzca(cy): 21:13,21:18</v>
          </cell>
        </row>
        <row r="368">
          <cell r="B368">
            <v>53</v>
          </cell>
          <cell r="C368" t="str">
            <v>dzień turnieju.</v>
          </cell>
          <cell r="I368" t="str">
            <v>Nr meczu</v>
          </cell>
          <cell r="N368" t="str">
            <v>Godz.</v>
          </cell>
          <cell r="R368" t="str">
            <v>S. prow.</v>
          </cell>
          <cell r="AF368" t="str">
            <v>wygrany</v>
          </cell>
          <cell r="AG368" t="str">
            <v>przegrany</v>
          </cell>
        </row>
        <row r="369">
          <cell r="B369" t="str">
            <v>Boisko</v>
          </cell>
          <cell r="C369" t="str">
            <v>Gra</v>
          </cell>
          <cell r="I369">
            <v>53</v>
          </cell>
          <cell r="N369" t="str">
            <v>rozp.</v>
          </cell>
          <cell r="P369" t="str">
            <v>zak.</v>
          </cell>
          <cell r="R369" t="str">
            <v>S. serw.</v>
          </cell>
        </row>
        <row r="370">
          <cell r="A370">
            <v>53</v>
          </cell>
          <cell r="C370" t="str">
            <v>Podwójna</v>
          </cell>
          <cell r="H370">
            <v>21</v>
          </cell>
          <cell r="I370">
            <v>3</v>
          </cell>
          <cell r="J370">
            <v>21</v>
          </cell>
          <cell r="K370">
            <v>12</v>
          </cell>
          <cell r="R370">
            <v>0</v>
          </cell>
          <cell r="S370" t="str">
            <v>godz.13:20</v>
          </cell>
          <cell r="X370">
            <v>53</v>
          </cell>
          <cell r="Y370" t="str">
            <v>Podwójna</v>
          </cell>
          <cell r="Z370" t="str">
            <v>K0011</v>
          </cell>
          <cell r="AA370" t="str">
            <v>S0030</v>
          </cell>
          <cell r="AB370" t="str">
            <v>M0026</v>
          </cell>
          <cell r="AC370" t="str">
            <v>S0029</v>
          </cell>
          <cell r="AD370" t="str">
            <v>K0011</v>
          </cell>
          <cell r="AE370" t="str">
            <v>S0030</v>
          </cell>
          <cell r="AF370" t="str">
            <v>21:3,21:12</v>
          </cell>
          <cell r="AG370" t="str">
            <v>3:21,12:21</v>
          </cell>
          <cell r="AH370" t="str">
            <v/>
          </cell>
          <cell r="AI370">
            <v>21</v>
          </cell>
          <cell r="AJ370">
            <v>3</v>
          </cell>
          <cell r="AK370">
            <v>21</v>
          </cell>
          <cell r="AL370">
            <v>12</v>
          </cell>
          <cell r="AM370">
            <v>0</v>
          </cell>
          <cell r="AN370">
            <v>0</v>
          </cell>
        </row>
        <row r="371">
          <cell r="A371" t="str">
            <v/>
          </cell>
          <cell r="B371" t="str">
            <v>Bartłomiej KOŚMIDER (Szczucin)</v>
          </cell>
          <cell r="H371" t="str">
            <v>K0011</v>
          </cell>
          <cell r="K371" t="str">
            <v>M0026</v>
          </cell>
          <cell r="N371" t="str">
            <v>Wojciech MACHAJ (Mielec)</v>
          </cell>
        </row>
        <row r="372">
          <cell r="A372" t="str">
            <v/>
          </cell>
          <cell r="B372" t="str">
            <v>Karol SZYMURA (Szczucin)</v>
          </cell>
          <cell r="H372" t="str">
            <v>S0030</v>
          </cell>
          <cell r="K372" t="str">
            <v>S0029</v>
          </cell>
          <cell r="N372" t="str">
            <v>Patryk STOLARZ (Mielec)</v>
          </cell>
        </row>
        <row r="374">
          <cell r="B374" t="str">
            <v>zwycięzca(cy): 21:3,21:12</v>
          </cell>
          <cell r="K374" t="str">
            <v/>
          </cell>
        </row>
        <row r="375">
          <cell r="B375">
            <v>54</v>
          </cell>
          <cell r="C375" t="str">
            <v>dzień turnieju.</v>
          </cell>
          <cell r="I375" t="str">
            <v>Nr meczu</v>
          </cell>
          <cell r="N375" t="str">
            <v>Godz.</v>
          </cell>
          <cell r="R375" t="str">
            <v>S. prow.</v>
          </cell>
          <cell r="AF375" t="str">
            <v>wygrany</v>
          </cell>
          <cell r="AG375" t="str">
            <v>przegrany</v>
          </cell>
        </row>
        <row r="376">
          <cell r="B376" t="str">
            <v>Boisko</v>
          </cell>
          <cell r="C376" t="str">
            <v>Gra</v>
          </cell>
          <cell r="I376">
            <v>54</v>
          </cell>
          <cell r="N376" t="str">
            <v>rozp.</v>
          </cell>
          <cell r="P376" t="str">
            <v>zak.</v>
          </cell>
          <cell r="R376" t="str">
            <v>S. serw.</v>
          </cell>
        </row>
        <row r="377">
          <cell r="A377">
            <v>54</v>
          </cell>
          <cell r="C377" t="str">
            <v>Podwójna</v>
          </cell>
          <cell r="H377">
            <v>21</v>
          </cell>
          <cell r="I377">
            <v>10</v>
          </cell>
          <cell r="J377">
            <v>21</v>
          </cell>
          <cell r="K377">
            <v>13</v>
          </cell>
          <cell r="R377">
            <v>0</v>
          </cell>
          <cell r="S377" t="str">
            <v>godz.13:20</v>
          </cell>
          <cell r="X377">
            <v>54</v>
          </cell>
          <cell r="Y377" t="str">
            <v>Podwójna</v>
          </cell>
          <cell r="Z377" t="str">
            <v>K0001</v>
          </cell>
          <cell r="AA377" t="str">
            <v>M0023</v>
          </cell>
          <cell r="AB377" t="str">
            <v>I0002</v>
          </cell>
          <cell r="AC377" t="str">
            <v>J0001</v>
          </cell>
          <cell r="AD377" t="str">
            <v>K0001</v>
          </cell>
          <cell r="AE377" t="str">
            <v>M0023</v>
          </cell>
          <cell r="AF377" t="str">
            <v>21:10,21:13</v>
          </cell>
          <cell r="AG377" t="str">
            <v>10:21,13:21</v>
          </cell>
          <cell r="AH377" t="str">
            <v/>
          </cell>
          <cell r="AI377">
            <v>21</v>
          </cell>
          <cell r="AJ377">
            <v>10</v>
          </cell>
          <cell r="AK377">
            <v>21</v>
          </cell>
          <cell r="AL377">
            <v>13</v>
          </cell>
          <cell r="AM377">
            <v>0</v>
          </cell>
          <cell r="AN377">
            <v>0</v>
          </cell>
        </row>
        <row r="378">
          <cell r="A378" t="str">
            <v/>
          </cell>
          <cell r="B378" t="str">
            <v>Marcin KALTENBERG (Tarnobrzeg)</v>
          </cell>
          <cell r="H378" t="str">
            <v>K0001</v>
          </cell>
          <cell r="K378" t="str">
            <v>I0002</v>
          </cell>
          <cell r="N378" t="str">
            <v>Igor IWAŃSKI (Mielec)</v>
          </cell>
        </row>
        <row r="379">
          <cell r="A379" t="str">
            <v/>
          </cell>
          <cell r="B379" t="str">
            <v>Tymoteusz MALIK (Tarnobrzeg)</v>
          </cell>
          <cell r="H379" t="str">
            <v>M0023</v>
          </cell>
          <cell r="K379" t="str">
            <v>J0001</v>
          </cell>
          <cell r="N379" t="str">
            <v>Mateusz JĘDRZEJKO (Rzeszów)</v>
          </cell>
        </row>
        <row r="381">
          <cell r="B381" t="str">
            <v>zwycięzca(cy): 21:10,21:13</v>
          </cell>
          <cell r="K381" t="str">
            <v/>
          </cell>
        </row>
        <row r="382">
          <cell r="B382">
            <v>55</v>
          </cell>
          <cell r="C382" t="str">
            <v>dzień turnieju.</v>
          </cell>
          <cell r="I382" t="str">
            <v>Nr meczu</v>
          </cell>
          <cell r="N382" t="str">
            <v>Godz.</v>
          </cell>
          <cell r="R382" t="str">
            <v>S. prow.</v>
          </cell>
          <cell r="AF382" t="str">
            <v>wygrany</v>
          </cell>
          <cell r="AG382" t="str">
            <v>przegrany</v>
          </cell>
        </row>
        <row r="383">
          <cell r="B383" t="str">
            <v>Boisko</v>
          </cell>
          <cell r="C383" t="str">
            <v>Gra</v>
          </cell>
          <cell r="I383">
            <v>55</v>
          </cell>
          <cell r="N383" t="str">
            <v>rozp.</v>
          </cell>
          <cell r="P383" t="str">
            <v>zak.</v>
          </cell>
          <cell r="R383" t="str">
            <v>S. serw.</v>
          </cell>
        </row>
        <row r="384">
          <cell r="A384">
            <v>55</v>
          </cell>
          <cell r="C384" t="str">
            <v>Podwójna</v>
          </cell>
          <cell r="H384">
            <v>18</v>
          </cell>
          <cell r="I384">
            <v>21</v>
          </cell>
          <cell r="J384">
            <v>20</v>
          </cell>
          <cell r="K384">
            <v>22</v>
          </cell>
          <cell r="R384">
            <v>0</v>
          </cell>
          <cell r="S384" t="str">
            <v>godz.13:20</v>
          </cell>
          <cell r="X384">
            <v>55</v>
          </cell>
          <cell r="Y384" t="str">
            <v>Podwójna</v>
          </cell>
          <cell r="Z384" t="str">
            <v>B0009</v>
          </cell>
          <cell r="AA384" t="str">
            <v>K0033</v>
          </cell>
          <cell r="AB384" t="str">
            <v>K0001</v>
          </cell>
          <cell r="AC384" t="str">
            <v>M0023</v>
          </cell>
          <cell r="AD384" t="str">
            <v>K0001</v>
          </cell>
          <cell r="AE384" t="str">
            <v>M0023</v>
          </cell>
          <cell r="AF384" t="str">
            <v>21:18,22:20</v>
          </cell>
          <cell r="AG384" t="str">
            <v>18:21,20:22</v>
          </cell>
          <cell r="AH384" t="str">
            <v/>
          </cell>
          <cell r="AI384">
            <v>18</v>
          </cell>
          <cell r="AJ384">
            <v>21</v>
          </cell>
          <cell r="AK384">
            <v>20</v>
          </cell>
          <cell r="AL384">
            <v>22</v>
          </cell>
          <cell r="AM384">
            <v>0</v>
          </cell>
          <cell r="AN384">
            <v>0</v>
          </cell>
        </row>
        <row r="385">
          <cell r="A385" t="str">
            <v/>
          </cell>
          <cell r="B385" t="str">
            <v>Adam BUNIO (Nowa Dęba)</v>
          </cell>
          <cell r="H385" t="str">
            <v>B0009</v>
          </cell>
          <cell r="K385" t="str">
            <v>K0001</v>
          </cell>
          <cell r="N385" t="str">
            <v>Marcin KALTENBERG (Tarnobrzeg)</v>
          </cell>
        </row>
        <row r="386">
          <cell r="A386" t="str">
            <v/>
          </cell>
          <cell r="B386" t="str">
            <v>Marek KAMIŃSKI (Nowa Dęba)</v>
          </cell>
          <cell r="H386" t="str">
            <v>K0033</v>
          </cell>
          <cell r="K386" t="str">
            <v>M0023</v>
          </cell>
          <cell r="N386" t="str">
            <v>Tymoteusz MALIK (Tarnobrzeg)</v>
          </cell>
        </row>
        <row r="388">
          <cell r="B388" t="str">
            <v/>
          </cell>
          <cell r="K388" t="str">
            <v>zwycięzca(cy): 21:18,22:20</v>
          </cell>
        </row>
        <row r="389">
          <cell r="B389">
            <v>56</v>
          </cell>
          <cell r="C389" t="str">
            <v>dzień turnieju.</v>
          </cell>
          <cell r="I389" t="str">
            <v>Nr meczu</v>
          </cell>
          <cell r="N389" t="str">
            <v>Godz.</v>
          </cell>
          <cell r="R389" t="str">
            <v>S. prow.</v>
          </cell>
          <cell r="AF389" t="str">
            <v>wygrany</v>
          </cell>
          <cell r="AG389" t="str">
            <v>przegrany</v>
          </cell>
        </row>
        <row r="390">
          <cell r="B390" t="str">
            <v>Boisko</v>
          </cell>
          <cell r="C390" t="str">
            <v>Gra</v>
          </cell>
          <cell r="I390">
            <v>56</v>
          </cell>
          <cell r="N390" t="str">
            <v>rozp.</v>
          </cell>
          <cell r="P390" t="str">
            <v>zak.</v>
          </cell>
          <cell r="R390" t="str">
            <v>S. serw.</v>
          </cell>
        </row>
        <row r="391">
          <cell r="A391">
            <v>56</v>
          </cell>
          <cell r="C391" t="str">
            <v>Open</v>
          </cell>
          <cell r="H391">
            <v>21</v>
          </cell>
          <cell r="I391">
            <v>19</v>
          </cell>
          <cell r="J391">
            <v>17</v>
          </cell>
          <cell r="K391">
            <v>21</v>
          </cell>
          <cell r="L391">
            <v>21</v>
          </cell>
          <cell r="M391">
            <v>19</v>
          </cell>
          <cell r="R391">
            <v>0</v>
          </cell>
          <cell r="S391" t="str">
            <v>godz.13:20</v>
          </cell>
          <cell r="X391">
            <v>56</v>
          </cell>
          <cell r="Y391" t="str">
            <v>Open</v>
          </cell>
          <cell r="Z391" t="str">
            <v>K0001</v>
          </cell>
          <cell r="AA391" t="str">
            <v/>
          </cell>
          <cell r="AB391" t="str">
            <v>I0002</v>
          </cell>
          <cell r="AC391" t="str">
            <v/>
          </cell>
          <cell r="AD391" t="str">
            <v>K0001</v>
          </cell>
          <cell r="AE391" t="str">
            <v/>
          </cell>
          <cell r="AF391" t="str">
            <v>21:19,17:21,21:19</v>
          </cell>
          <cell r="AG391" t="str">
            <v>19:21,21:17,19:21</v>
          </cell>
          <cell r="AH391" t="str">
            <v/>
          </cell>
          <cell r="AI391">
            <v>21</v>
          </cell>
          <cell r="AJ391">
            <v>19</v>
          </cell>
          <cell r="AK391">
            <v>17</v>
          </cell>
          <cell r="AL391">
            <v>21</v>
          </cell>
          <cell r="AM391">
            <v>21</v>
          </cell>
          <cell r="AN391">
            <v>19</v>
          </cell>
        </row>
        <row r="392">
          <cell r="A392" t="str">
            <v/>
          </cell>
          <cell r="B392" t="str">
            <v>Marcin KALTENBERG (Tarnobrzeg)</v>
          </cell>
          <cell r="H392" t="str">
            <v>K0001</v>
          </cell>
          <cell r="K392" t="str">
            <v>I0002</v>
          </cell>
          <cell r="N392" t="str">
            <v>Igor IWAŃSKI (Mielec)</v>
          </cell>
        </row>
        <row r="393">
          <cell r="A393" t="str">
            <v/>
          </cell>
          <cell r="B393" t="str">
            <v/>
          </cell>
          <cell r="H393" t="str">
            <v/>
          </cell>
          <cell r="K393" t="str">
            <v/>
          </cell>
          <cell r="N393" t="str">
            <v/>
          </cell>
        </row>
        <row r="395">
          <cell r="B395" t="str">
            <v>zwycięzca(cy): 21:19,17:21,21:19</v>
          </cell>
          <cell r="K395" t="str">
            <v/>
          </cell>
        </row>
      </sheetData>
      <sheetData sheetId="8">
        <row r="1">
          <cell r="A1" t="str">
            <v>PZBADNR</v>
          </cell>
          <cell r="B1" t="str">
            <v>IMIĘ</v>
          </cell>
          <cell r="C1" t="str">
            <v>NAZWISKO</v>
          </cell>
          <cell r="D1" t="str">
            <v>KLUB</v>
          </cell>
          <cell r="E1" t="str">
            <v>Dane zawodników z dnia 2011-02-09</v>
          </cell>
        </row>
        <row r="2">
          <cell r="A2" t="str">
            <v>B0001</v>
          </cell>
          <cell r="B2" t="str">
            <v>Maciej</v>
          </cell>
          <cell r="C2" t="str">
            <v>BARAN</v>
          </cell>
          <cell r="D2" t="str">
            <v>Budziwój</v>
          </cell>
        </row>
        <row r="3">
          <cell r="A3" t="str">
            <v>B0002</v>
          </cell>
          <cell r="B3" t="str">
            <v>Kinga</v>
          </cell>
          <cell r="C3" t="str">
            <v>BAZAN</v>
          </cell>
          <cell r="D3" t="str">
            <v>Sokołów Młp.</v>
          </cell>
        </row>
        <row r="4">
          <cell r="A4" t="str">
            <v>B0003</v>
          </cell>
          <cell r="B4" t="str">
            <v>Tadeusz</v>
          </cell>
          <cell r="C4" t="str">
            <v>BAZAN</v>
          </cell>
          <cell r="D4" t="str">
            <v>Sokołów Młp.</v>
          </cell>
        </row>
        <row r="5">
          <cell r="A5" t="str">
            <v>B0004</v>
          </cell>
          <cell r="B5" t="str">
            <v>Mateusz</v>
          </cell>
          <cell r="C5" t="str">
            <v>BIELASZKA</v>
          </cell>
          <cell r="D5" t="str">
            <v>Szczucin</v>
          </cell>
        </row>
        <row r="6">
          <cell r="A6" t="str">
            <v>B0005</v>
          </cell>
          <cell r="B6" t="str">
            <v>Stanisław</v>
          </cell>
          <cell r="C6" t="str">
            <v>BIELSKI </v>
          </cell>
          <cell r="D6" t="str">
            <v>Nowa Dęba</v>
          </cell>
        </row>
        <row r="7">
          <cell r="A7" t="str">
            <v>B0006</v>
          </cell>
          <cell r="B7" t="str">
            <v>Adrian</v>
          </cell>
          <cell r="C7" t="str">
            <v>BOGDAN</v>
          </cell>
          <cell r="D7" t="str">
            <v>Nowa Dęba</v>
          </cell>
        </row>
        <row r="8">
          <cell r="A8" t="str">
            <v>B0007</v>
          </cell>
          <cell r="B8" t="str">
            <v>Jakub</v>
          </cell>
          <cell r="C8" t="str">
            <v>BOJARSKI</v>
          </cell>
          <cell r="D8" t="str">
            <v>Tarnobrzeg</v>
          </cell>
        </row>
        <row r="9">
          <cell r="A9" t="str">
            <v>B0008</v>
          </cell>
          <cell r="B9" t="str">
            <v>Wojciech</v>
          </cell>
          <cell r="C9" t="str">
            <v>BUCZYŃSKI</v>
          </cell>
          <cell r="D9" t="str">
            <v>Straszęcin</v>
          </cell>
        </row>
        <row r="10">
          <cell r="A10" t="str">
            <v>B0009</v>
          </cell>
          <cell r="B10" t="str">
            <v>Adam</v>
          </cell>
          <cell r="C10" t="str">
            <v>BUNIO</v>
          </cell>
          <cell r="D10" t="str">
            <v>Nowa Dęba</v>
          </cell>
        </row>
        <row r="11">
          <cell r="A11" t="str">
            <v>B0010</v>
          </cell>
          <cell r="B11" t="str">
            <v>Tomasz</v>
          </cell>
          <cell r="C11" t="str">
            <v>BIENIEK</v>
          </cell>
          <cell r="D11" t="str">
            <v>Mielec</v>
          </cell>
        </row>
        <row r="12">
          <cell r="A12" t="str">
            <v>B0011</v>
          </cell>
          <cell r="B12" t="str">
            <v>Aleksandra</v>
          </cell>
          <cell r="C12" t="str">
            <v>BIAŁEK</v>
          </cell>
          <cell r="D12" t="str">
            <v>Widełka</v>
          </cell>
        </row>
        <row r="13">
          <cell r="A13" t="str">
            <v>B0012</v>
          </cell>
          <cell r="B13" t="str">
            <v>Wiesław</v>
          </cell>
          <cell r="C13" t="str">
            <v>BĄK</v>
          </cell>
          <cell r="D13" t="str">
            <v>Jarosław</v>
          </cell>
        </row>
        <row r="14">
          <cell r="A14" t="str">
            <v>B0013</v>
          </cell>
          <cell r="B14" t="str">
            <v>Andrzej</v>
          </cell>
          <cell r="C14" t="str">
            <v>BURLIKOWSKI</v>
          </cell>
          <cell r="D14" t="str">
            <v>Jarosław</v>
          </cell>
        </row>
        <row r="15">
          <cell r="A15" t="str">
            <v>B0014</v>
          </cell>
          <cell r="B15" t="str">
            <v>Jozsef</v>
          </cell>
          <cell r="C15" t="str">
            <v>BOZSO</v>
          </cell>
          <cell r="D15" t="str">
            <v>Szolnok (Hungary)</v>
          </cell>
        </row>
        <row r="16">
          <cell r="A16" t="str">
            <v>B0015</v>
          </cell>
          <cell r="B16" t="str">
            <v>Tomasz</v>
          </cell>
          <cell r="C16" t="str">
            <v>BARAN</v>
          </cell>
          <cell r="D16" t="str">
            <v>Krosno</v>
          </cell>
        </row>
        <row r="17">
          <cell r="A17" t="str">
            <v>B0016</v>
          </cell>
          <cell r="B17" t="str">
            <v>Krzysztof</v>
          </cell>
          <cell r="C17" t="str">
            <v>BIELSKI</v>
          </cell>
          <cell r="D17" t="str">
            <v>Krosno</v>
          </cell>
        </row>
        <row r="18">
          <cell r="A18" t="str">
            <v>C0001</v>
          </cell>
          <cell r="B18" t="str">
            <v>Mateusz</v>
          </cell>
          <cell r="C18" t="str">
            <v>CIURKOT</v>
          </cell>
          <cell r="D18" t="str">
            <v>Straszęcin</v>
          </cell>
        </row>
        <row r="19">
          <cell r="A19" t="str">
            <v>C0002</v>
          </cell>
          <cell r="B19" t="str">
            <v>Cezary</v>
          </cell>
          <cell r="C19" t="str">
            <v>CYNKIER</v>
          </cell>
          <cell r="D19" t="str">
            <v>Sokołów Młp.</v>
          </cell>
        </row>
        <row r="20">
          <cell r="A20" t="str">
            <v>C0003</v>
          </cell>
          <cell r="B20" t="str">
            <v>Jakub</v>
          </cell>
          <cell r="C20" t="str">
            <v>CZACHOR</v>
          </cell>
          <cell r="D20" t="str">
            <v>Mielec</v>
          </cell>
        </row>
        <row r="21">
          <cell r="A21" t="str">
            <v>C0004</v>
          </cell>
          <cell r="B21" t="str">
            <v>Mateusz</v>
          </cell>
          <cell r="C21" t="str">
            <v>CZUB</v>
          </cell>
          <cell r="D21" t="str">
            <v>Szczucin</v>
          </cell>
        </row>
        <row r="22">
          <cell r="A22" t="str">
            <v>C0005</v>
          </cell>
          <cell r="B22" t="str">
            <v>Bartosz</v>
          </cell>
          <cell r="C22" t="str">
            <v>CURZYTEK</v>
          </cell>
          <cell r="D22" t="str">
            <v>Ropczyce</v>
          </cell>
        </row>
        <row r="23">
          <cell r="A23" t="str">
            <v>C0006</v>
          </cell>
          <cell r="B23" t="str">
            <v>Mateusz</v>
          </cell>
          <cell r="C23" t="str">
            <v>CZACHOR</v>
          </cell>
          <cell r="D23" t="str">
            <v>Nowa Dęba</v>
          </cell>
        </row>
        <row r="24">
          <cell r="A24" t="str">
            <v>C0007</v>
          </cell>
          <cell r="B24" t="str">
            <v>Krystian </v>
          </cell>
          <cell r="C24" t="str">
            <v>CHRZĄŚCIK</v>
          </cell>
          <cell r="D24" t="str">
            <v>Gorlice</v>
          </cell>
        </row>
        <row r="25">
          <cell r="A25" t="str">
            <v>D0001</v>
          </cell>
          <cell r="B25" t="str">
            <v>Mariusz</v>
          </cell>
          <cell r="C25" t="str">
            <v>DEREŃ</v>
          </cell>
          <cell r="D25" t="str">
            <v>Leżajsk</v>
          </cell>
        </row>
        <row r="26">
          <cell r="A26" t="str">
            <v>D0002</v>
          </cell>
          <cell r="B26" t="str">
            <v>Aleksandra</v>
          </cell>
          <cell r="C26" t="str">
            <v>DERNOGA </v>
          </cell>
          <cell r="D26" t="str">
            <v>Szczucin</v>
          </cell>
        </row>
        <row r="27">
          <cell r="A27" t="str">
            <v>D0003</v>
          </cell>
          <cell r="B27" t="str">
            <v>Łukasz</v>
          </cell>
          <cell r="C27" t="str">
            <v>DYCHA</v>
          </cell>
          <cell r="D27" t="str">
            <v>Nowa Dęba</v>
          </cell>
        </row>
        <row r="28">
          <cell r="A28" t="str">
            <v>D0004</v>
          </cell>
          <cell r="B28" t="str">
            <v>Rafał</v>
          </cell>
          <cell r="C28" t="str">
            <v>DYCHTOŃ</v>
          </cell>
          <cell r="D28" t="str">
            <v>Tarnów</v>
          </cell>
        </row>
        <row r="29">
          <cell r="A29" t="str">
            <v>D0005</v>
          </cell>
          <cell r="B29" t="str">
            <v>Radosław</v>
          </cell>
          <cell r="C29" t="str">
            <v>DZIURA</v>
          </cell>
          <cell r="D29" t="str">
            <v>Szczucin</v>
          </cell>
        </row>
        <row r="30">
          <cell r="A30" t="str">
            <v>D0006</v>
          </cell>
          <cell r="B30" t="str">
            <v>Krzysztof</v>
          </cell>
          <cell r="C30" t="str">
            <v>DUBIEL</v>
          </cell>
          <cell r="D30" t="str">
            <v>Strzyżów</v>
          </cell>
        </row>
        <row r="31">
          <cell r="A31" t="str">
            <v>D0007</v>
          </cell>
          <cell r="B31" t="str">
            <v>Karolina</v>
          </cell>
          <cell r="C31" t="str">
            <v>DZIEKAN</v>
          </cell>
          <cell r="D31" t="str">
            <v>Mielec</v>
          </cell>
        </row>
        <row r="32">
          <cell r="A32" t="str">
            <v>D0008</v>
          </cell>
          <cell r="B32" t="str">
            <v>Patrycja</v>
          </cell>
          <cell r="C32" t="str">
            <v>DOMAŃSKA</v>
          </cell>
          <cell r="D32" t="str">
            <v>Rzeszów</v>
          </cell>
        </row>
        <row r="33">
          <cell r="A33" t="str">
            <v>F0001</v>
          </cell>
          <cell r="B33" t="str">
            <v>Mariusz</v>
          </cell>
          <cell r="C33" t="str">
            <v>FERFECKI</v>
          </cell>
          <cell r="D33" t="str">
            <v>Ropczyce</v>
          </cell>
        </row>
        <row r="34">
          <cell r="A34" t="str">
            <v>F0002</v>
          </cell>
          <cell r="B34" t="str">
            <v>Wojciech</v>
          </cell>
          <cell r="C34" t="str">
            <v>FILEMONOWICZ</v>
          </cell>
          <cell r="D34" t="str">
            <v>Tarnów</v>
          </cell>
        </row>
        <row r="35">
          <cell r="A35" t="str">
            <v>F0003</v>
          </cell>
          <cell r="B35" t="str">
            <v>Grzegorz</v>
          </cell>
          <cell r="C35" t="str">
            <v>FIJAŁKOWSKI</v>
          </cell>
          <cell r="D35" t="str">
            <v>Mielec</v>
          </cell>
        </row>
        <row r="36">
          <cell r="A36" t="str">
            <v>G0001</v>
          </cell>
          <cell r="B36" t="str">
            <v>Agnieszka</v>
          </cell>
          <cell r="C36" t="str">
            <v>GAWEŁ</v>
          </cell>
          <cell r="D36" t="str">
            <v>Widełka</v>
          </cell>
        </row>
        <row r="37">
          <cell r="A37" t="str">
            <v>G0002</v>
          </cell>
          <cell r="B37" t="str">
            <v>Jarosław</v>
          </cell>
          <cell r="C37" t="str">
            <v>GÓRSKI</v>
          </cell>
          <cell r="D37" t="str">
            <v>Gorlice</v>
          </cell>
        </row>
        <row r="38">
          <cell r="A38" t="str">
            <v>G0003</v>
          </cell>
          <cell r="B38" t="str">
            <v>Marcin</v>
          </cell>
          <cell r="C38" t="str">
            <v>GRUSZKOWSKI</v>
          </cell>
          <cell r="D38" t="str">
            <v>Gorlice</v>
          </cell>
        </row>
        <row r="39">
          <cell r="A39" t="str">
            <v>G0004</v>
          </cell>
          <cell r="B39" t="str">
            <v>Marcin</v>
          </cell>
          <cell r="C39" t="str">
            <v>GZYL</v>
          </cell>
          <cell r="D39" t="str">
            <v>Tarnów</v>
          </cell>
        </row>
        <row r="40">
          <cell r="A40" t="str">
            <v>G0005</v>
          </cell>
          <cell r="B40" t="str">
            <v>Bogdan</v>
          </cell>
          <cell r="C40" t="str">
            <v>GUNIA</v>
          </cell>
          <cell r="D40" t="str">
            <v>Nowa Dęba</v>
          </cell>
        </row>
        <row r="41">
          <cell r="A41" t="str">
            <v>G0006</v>
          </cell>
          <cell r="B41" t="str">
            <v>Cyprian</v>
          </cell>
          <cell r="C41" t="str">
            <v>GERWATOWSKI</v>
          </cell>
          <cell r="D41" t="str">
            <v>Kraków</v>
          </cell>
        </row>
        <row r="42">
          <cell r="A42" t="str">
            <v>G0007</v>
          </cell>
          <cell r="B42" t="str">
            <v>Wojciech</v>
          </cell>
          <cell r="C42" t="str">
            <v>GAWROŃSKI</v>
          </cell>
          <cell r="D42" t="str">
            <v>Kraków</v>
          </cell>
        </row>
        <row r="43">
          <cell r="A43" t="str">
            <v>G0008</v>
          </cell>
          <cell r="B43" t="str">
            <v>Marcin</v>
          </cell>
          <cell r="C43" t="str">
            <v>GRZEGORSKI</v>
          </cell>
          <cell r="D43" t="str">
            <v>Ropczyce</v>
          </cell>
        </row>
        <row r="44">
          <cell r="A44" t="str">
            <v>G0009</v>
          </cell>
          <cell r="B44" t="str">
            <v>Mateusz</v>
          </cell>
          <cell r="C44" t="str">
            <v>GOLATOWSKI</v>
          </cell>
          <cell r="D44" t="str">
            <v>Przemyśl</v>
          </cell>
        </row>
        <row r="45">
          <cell r="A45" t="str">
            <v>G0010</v>
          </cell>
          <cell r="B45" t="str">
            <v>Przemysław</v>
          </cell>
          <cell r="C45" t="str">
            <v>GRZESZKOWIAK</v>
          </cell>
          <cell r="D45" t="str">
            <v>Warszawa</v>
          </cell>
        </row>
        <row r="46">
          <cell r="A46" t="str">
            <v>G0011</v>
          </cell>
          <cell r="B46" t="str">
            <v>Jakub</v>
          </cell>
          <cell r="C46" t="str">
            <v>GERCZAK</v>
          </cell>
          <cell r="D46" t="str">
            <v>Sanok</v>
          </cell>
        </row>
        <row r="47">
          <cell r="A47" t="str">
            <v>G0012</v>
          </cell>
          <cell r="B47" t="str">
            <v>Joanna</v>
          </cell>
          <cell r="C47" t="str">
            <v>GRZESIAK</v>
          </cell>
          <cell r="D47" t="str">
            <v>Szczucin</v>
          </cell>
        </row>
        <row r="48">
          <cell r="A48" t="str">
            <v>G0013</v>
          </cell>
          <cell r="B48" t="str">
            <v>Bartosz</v>
          </cell>
          <cell r="C48" t="str">
            <v>GROCHOCKI</v>
          </cell>
          <cell r="D48" t="str">
            <v>Mielec</v>
          </cell>
        </row>
        <row r="49">
          <cell r="A49" t="str">
            <v>G0014</v>
          </cell>
          <cell r="B49" t="str">
            <v>Eryk</v>
          </cell>
          <cell r="C49" t="str">
            <v>GŁOWACKI</v>
          </cell>
          <cell r="D49" t="str">
            <v>Jasło</v>
          </cell>
        </row>
        <row r="50">
          <cell r="A50" t="str">
            <v>G0015</v>
          </cell>
          <cell r="B50" t="str">
            <v>Piotr</v>
          </cell>
          <cell r="C50" t="str">
            <v>GŁOWACKI</v>
          </cell>
          <cell r="D50" t="str">
            <v>Jasło</v>
          </cell>
        </row>
        <row r="51">
          <cell r="A51" t="str">
            <v>H0001</v>
          </cell>
          <cell r="B51" t="str">
            <v>Krzysztof</v>
          </cell>
          <cell r="C51" t="str">
            <v>HAŁKA</v>
          </cell>
          <cell r="D51" t="str">
            <v>Nowa Dęba</v>
          </cell>
        </row>
        <row r="52">
          <cell r="A52" t="str">
            <v>H0002</v>
          </cell>
          <cell r="B52" t="str">
            <v>Maria</v>
          </cell>
          <cell r="C52" t="str">
            <v>HAŁKA</v>
          </cell>
          <cell r="D52" t="str">
            <v>Nowa Dęba</v>
          </cell>
        </row>
        <row r="53">
          <cell r="A53" t="str">
            <v>H0003</v>
          </cell>
          <cell r="B53" t="str">
            <v>Lidia</v>
          </cell>
          <cell r="C53" t="str">
            <v>HASSMAN</v>
          </cell>
          <cell r="D53" t="str">
            <v>Sokołów Młp.</v>
          </cell>
        </row>
        <row r="54">
          <cell r="A54" t="str">
            <v>H0004</v>
          </cell>
          <cell r="B54" t="str">
            <v>Monika</v>
          </cell>
          <cell r="C54" t="str">
            <v>HONKOWICZ</v>
          </cell>
          <cell r="D54" t="str">
            <v>Gorlice</v>
          </cell>
        </row>
        <row r="55">
          <cell r="A55" t="str">
            <v>H0005</v>
          </cell>
          <cell r="B55" t="str">
            <v>Filip</v>
          </cell>
          <cell r="C55" t="str">
            <v>HOŁOWICKI</v>
          </cell>
          <cell r="D55" t="str">
            <v>Mielec</v>
          </cell>
        </row>
        <row r="56">
          <cell r="A56" t="str">
            <v>I0001</v>
          </cell>
          <cell r="B56" t="str">
            <v>Michał</v>
          </cell>
          <cell r="C56" t="str">
            <v>IWANIEC</v>
          </cell>
          <cell r="D56" t="str">
            <v>Tarnów</v>
          </cell>
        </row>
        <row r="57">
          <cell r="A57" t="str">
            <v>I0002</v>
          </cell>
          <cell r="B57" t="str">
            <v>Igor</v>
          </cell>
          <cell r="C57" t="str">
            <v>IWAŃSKI</v>
          </cell>
          <cell r="D57" t="str">
            <v>Mielec</v>
          </cell>
        </row>
        <row r="58">
          <cell r="A58" t="str">
            <v>J0001</v>
          </cell>
          <cell r="B58" t="str">
            <v>Mateusz</v>
          </cell>
          <cell r="C58" t="str">
            <v>JĘDRZEJKO</v>
          </cell>
          <cell r="D58" t="str">
            <v>Rzeszów</v>
          </cell>
        </row>
        <row r="59">
          <cell r="A59" t="str">
            <v>J0002</v>
          </cell>
          <cell r="B59" t="str">
            <v>Bartosz</v>
          </cell>
          <cell r="C59" t="str">
            <v>JABŁOŃSKI</v>
          </cell>
          <cell r="D59" t="str">
            <v>Połaniec</v>
          </cell>
        </row>
        <row r="60">
          <cell r="A60" t="str">
            <v>J0003</v>
          </cell>
          <cell r="B60" t="str">
            <v>Paulina</v>
          </cell>
          <cell r="C60" t="str">
            <v>JANUS</v>
          </cell>
          <cell r="D60" t="str">
            <v>Mielec</v>
          </cell>
        </row>
        <row r="61">
          <cell r="A61" t="str">
            <v>K0001</v>
          </cell>
          <cell r="B61" t="str">
            <v>Marcin</v>
          </cell>
          <cell r="C61" t="str">
            <v>KALTENBERG</v>
          </cell>
          <cell r="D61" t="str">
            <v>Tarnobrzeg</v>
          </cell>
        </row>
        <row r="62">
          <cell r="A62" t="str">
            <v>K0002</v>
          </cell>
          <cell r="B62" t="str">
            <v>Mirosław</v>
          </cell>
          <cell r="C62" t="str">
            <v>KARKUT</v>
          </cell>
          <cell r="D62" t="str">
            <v>Widełka</v>
          </cell>
        </row>
        <row r="63">
          <cell r="A63" t="str">
            <v>K0003</v>
          </cell>
          <cell r="B63" t="str">
            <v>Robert</v>
          </cell>
          <cell r="C63" t="str">
            <v>KARNASIEWICZ</v>
          </cell>
          <cell r="D63" t="str">
            <v>Mielec</v>
          </cell>
        </row>
        <row r="64">
          <cell r="A64" t="str">
            <v>K0004</v>
          </cell>
          <cell r="B64" t="str">
            <v>Kinga</v>
          </cell>
          <cell r="C64" t="str">
            <v>KATRA</v>
          </cell>
          <cell r="D64" t="str">
            <v>Nowa Dęba</v>
          </cell>
        </row>
        <row r="65">
          <cell r="A65" t="str">
            <v>K0005</v>
          </cell>
          <cell r="B65" t="str">
            <v>Leszek</v>
          </cell>
          <cell r="C65" t="str">
            <v>KIWAK</v>
          </cell>
          <cell r="D65" t="str">
            <v>Kolbuszowa</v>
          </cell>
        </row>
        <row r="66">
          <cell r="A66" t="str">
            <v>K0006</v>
          </cell>
          <cell r="B66" t="str">
            <v>Klaudia</v>
          </cell>
          <cell r="C66" t="str">
            <v>KLIŚ</v>
          </cell>
          <cell r="D66" t="str">
            <v>Szczucin</v>
          </cell>
        </row>
        <row r="67">
          <cell r="A67" t="str">
            <v>K0007</v>
          </cell>
          <cell r="B67" t="str">
            <v>Jerzy</v>
          </cell>
          <cell r="C67" t="str">
            <v>KNOT</v>
          </cell>
          <cell r="D67" t="str">
            <v>Gorlice</v>
          </cell>
        </row>
        <row r="68">
          <cell r="A68" t="str">
            <v>K0008</v>
          </cell>
          <cell r="B68" t="str">
            <v>Maciej</v>
          </cell>
          <cell r="C68" t="str">
            <v>KNOT</v>
          </cell>
          <cell r="D68" t="str">
            <v>Gorlice</v>
          </cell>
        </row>
        <row r="69">
          <cell r="A69" t="str">
            <v>K0009</v>
          </cell>
          <cell r="B69" t="str">
            <v>Filip</v>
          </cell>
          <cell r="C69" t="str">
            <v>KOC</v>
          </cell>
          <cell r="D69" t="str">
            <v>Sokołów Młp.</v>
          </cell>
        </row>
        <row r="70">
          <cell r="A70" t="str">
            <v>K0010</v>
          </cell>
          <cell r="B70" t="str">
            <v>Łukasz</v>
          </cell>
          <cell r="C70" t="str">
            <v>KOŚCIÓŁEK</v>
          </cell>
          <cell r="D70" t="str">
            <v>Sokołów Młp.</v>
          </cell>
        </row>
        <row r="71">
          <cell r="A71" t="str">
            <v>K0011</v>
          </cell>
          <cell r="B71" t="str">
            <v>Bartłomiej</v>
          </cell>
          <cell r="C71" t="str">
            <v>KOŚMIDER</v>
          </cell>
          <cell r="D71" t="str">
            <v>Szczucin</v>
          </cell>
        </row>
        <row r="72">
          <cell r="A72" t="str">
            <v>K0012</v>
          </cell>
          <cell r="B72" t="str">
            <v>Piotr</v>
          </cell>
          <cell r="C72" t="str">
            <v>KOTERBA</v>
          </cell>
          <cell r="D72" t="str">
            <v>Rzeszów</v>
          </cell>
        </row>
        <row r="73">
          <cell r="A73" t="str">
            <v>K0013</v>
          </cell>
          <cell r="B73" t="str">
            <v>Paweł</v>
          </cell>
          <cell r="C73" t="str">
            <v>KSIĄŻEK</v>
          </cell>
          <cell r="D73" t="str">
            <v>Straszęcin</v>
          </cell>
        </row>
        <row r="74">
          <cell r="A74" t="str">
            <v>K0014</v>
          </cell>
          <cell r="B74" t="str">
            <v>Zdzisław</v>
          </cell>
          <cell r="C74" t="str">
            <v>KULA </v>
          </cell>
          <cell r="D74" t="str">
            <v>Tarnów</v>
          </cell>
        </row>
        <row r="75">
          <cell r="A75" t="str">
            <v>K0015</v>
          </cell>
          <cell r="B75" t="str">
            <v>Wojciech</v>
          </cell>
          <cell r="C75" t="str">
            <v>KURZYŃSKI</v>
          </cell>
          <cell r="D75" t="str">
            <v>Tarnobrzeg</v>
          </cell>
        </row>
        <row r="76">
          <cell r="A76" t="str">
            <v>K0016</v>
          </cell>
          <cell r="B76" t="str">
            <v>Bernadetta</v>
          </cell>
          <cell r="C76" t="str">
            <v>KUTACHA</v>
          </cell>
          <cell r="D76" t="str">
            <v>Widełka</v>
          </cell>
        </row>
        <row r="77">
          <cell r="A77" t="str">
            <v>K0017</v>
          </cell>
          <cell r="B77" t="str">
            <v>Mateusz</v>
          </cell>
          <cell r="C77" t="str">
            <v>KWIATKOWSKI</v>
          </cell>
          <cell r="D77" t="str">
            <v>Tarnobrzeg</v>
          </cell>
        </row>
        <row r="78">
          <cell r="A78" t="str">
            <v>K0018</v>
          </cell>
          <cell r="B78" t="str">
            <v>Paweł</v>
          </cell>
          <cell r="C78" t="str">
            <v>KOT </v>
          </cell>
          <cell r="D78" t="str">
            <v>Nowa Dęba</v>
          </cell>
        </row>
        <row r="79">
          <cell r="A79" t="str">
            <v>K0019</v>
          </cell>
          <cell r="B79" t="str">
            <v>Krystian</v>
          </cell>
          <cell r="C79" t="str">
            <v>KOŁODZIEJ</v>
          </cell>
          <cell r="D79" t="str">
            <v>Sokołów Młp.</v>
          </cell>
        </row>
        <row r="80">
          <cell r="A80" t="str">
            <v>K0020</v>
          </cell>
          <cell r="B80" t="str">
            <v>Konrad</v>
          </cell>
          <cell r="C80" t="str">
            <v>KONASZEWSKI</v>
          </cell>
          <cell r="D80" t="str">
            <v>Rzeszów</v>
          </cell>
        </row>
        <row r="81">
          <cell r="A81" t="str">
            <v>K0021</v>
          </cell>
          <cell r="B81" t="str">
            <v>Lucjan</v>
          </cell>
          <cell r="C81" t="str">
            <v>KONASZEWSKI</v>
          </cell>
          <cell r="D81" t="str">
            <v>Rzeszów</v>
          </cell>
        </row>
        <row r="82">
          <cell r="A82" t="str">
            <v>K0022</v>
          </cell>
          <cell r="B82" t="str">
            <v>Hubert</v>
          </cell>
          <cell r="C82" t="str">
            <v>KUKOWSKI</v>
          </cell>
          <cell r="D82" t="str">
            <v>Mielec</v>
          </cell>
        </row>
        <row r="83">
          <cell r="A83" t="str">
            <v>K0023</v>
          </cell>
          <cell r="B83" t="str">
            <v>Lucjan</v>
          </cell>
          <cell r="C83" t="str">
            <v>KAWAŁEK</v>
          </cell>
          <cell r="D83" t="str">
            <v>Gorlice</v>
          </cell>
        </row>
        <row r="84">
          <cell r="A84" t="str">
            <v>K0024</v>
          </cell>
          <cell r="B84" t="str">
            <v>Wojciech</v>
          </cell>
          <cell r="C84" t="str">
            <v>KRAUS</v>
          </cell>
          <cell r="D84" t="str">
            <v>Gorlice</v>
          </cell>
        </row>
        <row r="85">
          <cell r="A85" t="str">
            <v>K0025</v>
          </cell>
          <cell r="B85" t="str">
            <v>Marek</v>
          </cell>
          <cell r="C85" t="str">
            <v>KOTOWICZ</v>
          </cell>
          <cell r="D85" t="str">
            <v>Gorlice</v>
          </cell>
        </row>
        <row r="86">
          <cell r="A86" t="str">
            <v>K0026</v>
          </cell>
          <cell r="B86" t="str">
            <v>Kamil</v>
          </cell>
          <cell r="C86" t="str">
            <v>KRUKOWSKI</v>
          </cell>
          <cell r="D86" t="str">
            <v>Nowa Dęba</v>
          </cell>
        </row>
        <row r="87">
          <cell r="A87" t="str">
            <v>K0027</v>
          </cell>
          <cell r="B87" t="str">
            <v>Miłosz</v>
          </cell>
          <cell r="C87" t="str">
            <v>KUKUŁA</v>
          </cell>
          <cell r="D87" t="str">
            <v>Gorlice</v>
          </cell>
        </row>
        <row r="88">
          <cell r="A88" t="str">
            <v>K0028</v>
          </cell>
          <cell r="B88" t="str">
            <v>Katarzyna</v>
          </cell>
          <cell r="C88" t="str">
            <v>KUTACHA</v>
          </cell>
          <cell r="D88" t="str">
            <v>Widełka</v>
          </cell>
        </row>
        <row r="89">
          <cell r="A89" t="str">
            <v>K0029</v>
          </cell>
          <cell r="B89" t="str">
            <v>Patryk</v>
          </cell>
          <cell r="C89" t="str">
            <v>KOPEĆ</v>
          </cell>
          <cell r="D89" t="str">
            <v>Nowa Dęba</v>
          </cell>
        </row>
        <row r="90">
          <cell r="A90" t="str">
            <v>K0030</v>
          </cell>
          <cell r="B90" t="str">
            <v>Paweł</v>
          </cell>
          <cell r="C90" t="str">
            <v>KOPAŃSKI</v>
          </cell>
          <cell r="D90" t="str">
            <v>Widełka</v>
          </cell>
        </row>
        <row r="91">
          <cell r="A91" t="str">
            <v>K0031</v>
          </cell>
          <cell r="B91" t="str">
            <v>Wiktoria</v>
          </cell>
          <cell r="C91" t="str">
            <v>KAPINOS</v>
          </cell>
          <cell r="D91" t="str">
            <v>Mielec</v>
          </cell>
        </row>
        <row r="92">
          <cell r="A92" t="str">
            <v>K0032</v>
          </cell>
          <cell r="B92" t="str">
            <v>Paweł</v>
          </cell>
          <cell r="C92" t="str">
            <v>KACZOR</v>
          </cell>
          <cell r="D92" t="str">
            <v>Nowa Dęba</v>
          </cell>
        </row>
        <row r="93">
          <cell r="A93" t="str">
            <v>K0033</v>
          </cell>
          <cell r="B93" t="str">
            <v>Marek</v>
          </cell>
          <cell r="C93" t="str">
            <v>KAMIŃSKI</v>
          </cell>
          <cell r="D93" t="str">
            <v>Nowa Dęba</v>
          </cell>
        </row>
        <row r="94">
          <cell r="A94" t="str">
            <v>K0034</v>
          </cell>
          <cell r="B94" t="str">
            <v>Marcin</v>
          </cell>
          <cell r="C94" t="str">
            <v>KOWALIK</v>
          </cell>
          <cell r="D94" t="str">
            <v>Rzeszów</v>
          </cell>
        </row>
        <row r="95">
          <cell r="A95" t="str">
            <v>K0035</v>
          </cell>
          <cell r="B95" t="str">
            <v>Maciej</v>
          </cell>
          <cell r="C95" t="str">
            <v>KOZIEŁ</v>
          </cell>
          <cell r="D95" t="str">
            <v>Myślenice</v>
          </cell>
        </row>
        <row r="96">
          <cell r="A96" t="str">
            <v>K0036</v>
          </cell>
          <cell r="B96" t="str">
            <v>Tomasz </v>
          </cell>
          <cell r="C96" t="str">
            <v>KNOPEK</v>
          </cell>
          <cell r="D96" t="str">
            <v>Kraków</v>
          </cell>
        </row>
        <row r="97">
          <cell r="A97" t="str">
            <v>K0037</v>
          </cell>
          <cell r="B97" t="str">
            <v>Mateusz</v>
          </cell>
          <cell r="C97" t="str">
            <v>KRUPA</v>
          </cell>
          <cell r="D97" t="str">
            <v>Mielec</v>
          </cell>
        </row>
        <row r="98">
          <cell r="A98" t="str">
            <v>L0001</v>
          </cell>
          <cell r="B98" t="str">
            <v>Marek</v>
          </cell>
          <cell r="C98" t="str">
            <v>LEŚ</v>
          </cell>
          <cell r="D98" t="str">
            <v>Mielec</v>
          </cell>
        </row>
        <row r="99">
          <cell r="A99" t="str">
            <v>L0002</v>
          </cell>
          <cell r="B99" t="str">
            <v>Tomasz</v>
          </cell>
          <cell r="C99" t="str">
            <v>LEGENY</v>
          </cell>
          <cell r="D99" t="str">
            <v>Jarosław</v>
          </cell>
        </row>
        <row r="100">
          <cell r="A100" t="str">
            <v>L0003</v>
          </cell>
          <cell r="B100" t="str">
            <v>Marcin</v>
          </cell>
          <cell r="C100" t="str">
            <v>LISZKA</v>
          </cell>
          <cell r="D100" t="str">
            <v>Gorlice</v>
          </cell>
        </row>
        <row r="101">
          <cell r="A101" t="str">
            <v>Ł0001</v>
          </cell>
          <cell r="B101" t="str">
            <v>Łukasz</v>
          </cell>
          <cell r="C101" t="str">
            <v>ŁABUZ</v>
          </cell>
          <cell r="D101" t="str">
            <v>Szczucin</v>
          </cell>
        </row>
        <row r="102">
          <cell r="A102" t="str">
            <v>Ł0002</v>
          </cell>
          <cell r="B102" t="str">
            <v>Wojciech</v>
          </cell>
          <cell r="C102" t="str">
            <v>ŁABUZ</v>
          </cell>
          <cell r="D102" t="str">
            <v>Szczucin</v>
          </cell>
        </row>
        <row r="103">
          <cell r="A103" t="str">
            <v>Ł0003</v>
          </cell>
          <cell r="B103" t="str">
            <v>Piotr</v>
          </cell>
          <cell r="C103" t="str">
            <v>ŁUKASIK</v>
          </cell>
          <cell r="D103" t="str">
            <v>Gorlice</v>
          </cell>
        </row>
        <row r="104">
          <cell r="A104" t="str">
            <v>M0001</v>
          </cell>
          <cell r="B104" t="str">
            <v>Paulina</v>
          </cell>
          <cell r="C104" t="str">
            <v>MACIEJEWSKA</v>
          </cell>
          <cell r="D104" t="str">
            <v>Tarnów</v>
          </cell>
        </row>
        <row r="105">
          <cell r="A105" t="str">
            <v>M0002</v>
          </cell>
          <cell r="B105" t="str">
            <v>Michał</v>
          </cell>
          <cell r="C105" t="str">
            <v>MAGDZIAK</v>
          </cell>
          <cell r="D105" t="str">
            <v>Szczucin</v>
          </cell>
        </row>
        <row r="106">
          <cell r="A106" t="str">
            <v>M0003</v>
          </cell>
          <cell r="B106" t="str">
            <v>Patrycja</v>
          </cell>
          <cell r="C106" t="str">
            <v>MAKOCKA</v>
          </cell>
          <cell r="D106" t="str">
            <v>Mielec</v>
          </cell>
        </row>
        <row r="107">
          <cell r="A107" t="str">
            <v>M0004</v>
          </cell>
          <cell r="B107" t="str">
            <v>Antoni</v>
          </cell>
          <cell r="C107" t="str">
            <v>MALCHAREK</v>
          </cell>
          <cell r="D107" t="str">
            <v>Nowa Dęba</v>
          </cell>
        </row>
        <row r="108">
          <cell r="A108" t="str">
            <v>M0005</v>
          </cell>
          <cell r="B108" t="str">
            <v>Piotr</v>
          </cell>
          <cell r="C108" t="str">
            <v>MALIK</v>
          </cell>
          <cell r="D108" t="str">
            <v>Tarnobrzeg</v>
          </cell>
        </row>
        <row r="109">
          <cell r="A109" t="str">
            <v>M0006</v>
          </cell>
          <cell r="B109" t="str">
            <v>Szymon</v>
          </cell>
          <cell r="C109" t="str">
            <v>MALIK</v>
          </cell>
          <cell r="D109" t="str">
            <v>Tarnobrzeg</v>
          </cell>
        </row>
        <row r="110">
          <cell r="A110" t="str">
            <v>M0007</v>
          </cell>
          <cell r="B110" t="str">
            <v>Maciej</v>
          </cell>
          <cell r="C110" t="str">
            <v>MATUSIK</v>
          </cell>
          <cell r="D110" t="str">
            <v>Ropczyce</v>
          </cell>
        </row>
        <row r="111">
          <cell r="A111" t="str">
            <v>M0008</v>
          </cell>
          <cell r="B111" t="str">
            <v>Tadeusz</v>
          </cell>
          <cell r="C111" t="str">
            <v>MICHALIK</v>
          </cell>
          <cell r="D111" t="str">
            <v>Tarnów</v>
          </cell>
        </row>
        <row r="112">
          <cell r="A112" t="str">
            <v>M0009</v>
          </cell>
          <cell r="B112" t="str">
            <v>Robert</v>
          </cell>
          <cell r="C112" t="str">
            <v>MIKA</v>
          </cell>
          <cell r="D112" t="str">
            <v>Gorlice</v>
          </cell>
        </row>
        <row r="113">
          <cell r="A113" t="str">
            <v>M0010</v>
          </cell>
          <cell r="B113" t="str">
            <v>Jarosław</v>
          </cell>
          <cell r="C113" t="str">
            <v>MIOTŁA</v>
          </cell>
          <cell r="D113" t="str">
            <v>Mielec</v>
          </cell>
        </row>
        <row r="114">
          <cell r="A114" t="str">
            <v>M0011</v>
          </cell>
          <cell r="B114" t="str">
            <v>Karol</v>
          </cell>
          <cell r="C114" t="str">
            <v>MĄCZYŃSKI</v>
          </cell>
          <cell r="D114" t="str">
            <v>Mielec</v>
          </cell>
        </row>
        <row r="115">
          <cell r="A115" t="str">
            <v>M0012</v>
          </cell>
          <cell r="B115" t="str">
            <v>Jarosław</v>
          </cell>
          <cell r="C115" t="str">
            <v>MAZUR</v>
          </cell>
          <cell r="D115" t="str">
            <v>Mielec</v>
          </cell>
        </row>
        <row r="116">
          <cell r="A116" t="str">
            <v>M0013</v>
          </cell>
          <cell r="B116" t="str">
            <v>Mariusz</v>
          </cell>
          <cell r="C116" t="str">
            <v>MASZTAFIAK</v>
          </cell>
          <cell r="D116" t="str">
            <v>Gorlice</v>
          </cell>
        </row>
        <row r="117">
          <cell r="A117" t="str">
            <v>M0014</v>
          </cell>
          <cell r="B117" t="str">
            <v>Dariusz</v>
          </cell>
          <cell r="C117" t="str">
            <v>MAZUR</v>
          </cell>
          <cell r="D117" t="str">
            <v>Mielec</v>
          </cell>
        </row>
        <row r="118">
          <cell r="A118" t="str">
            <v>M0015</v>
          </cell>
          <cell r="B118" t="str">
            <v>Michał</v>
          </cell>
          <cell r="C118" t="str">
            <v>MROZEK</v>
          </cell>
          <cell r="D118" t="str">
            <v>Gorlice</v>
          </cell>
        </row>
        <row r="119">
          <cell r="A119" t="str">
            <v>M0016</v>
          </cell>
          <cell r="B119" t="str">
            <v>Rafał</v>
          </cell>
          <cell r="C119" t="str">
            <v>MARKOWICZ</v>
          </cell>
          <cell r="D119" t="str">
            <v>Gorlice</v>
          </cell>
        </row>
        <row r="120">
          <cell r="A120" t="str">
            <v>M0017</v>
          </cell>
          <cell r="B120" t="str">
            <v>Małgorzata</v>
          </cell>
          <cell r="C120" t="str">
            <v>MROZEK</v>
          </cell>
          <cell r="D120" t="str">
            <v>Gorlice</v>
          </cell>
        </row>
        <row r="121">
          <cell r="A121" t="str">
            <v>M0018</v>
          </cell>
          <cell r="B121" t="str">
            <v>Karolina</v>
          </cell>
          <cell r="C121" t="str">
            <v>MORDAWSKA</v>
          </cell>
          <cell r="D121" t="str">
            <v>Gorlice</v>
          </cell>
        </row>
        <row r="122">
          <cell r="A122" t="str">
            <v>M0019</v>
          </cell>
          <cell r="B122" t="str">
            <v>Grzegorz</v>
          </cell>
          <cell r="C122" t="str">
            <v>MAC </v>
          </cell>
          <cell r="D122" t="str">
            <v>Rzeszów</v>
          </cell>
        </row>
        <row r="123">
          <cell r="A123" t="str">
            <v>M0020</v>
          </cell>
          <cell r="B123" t="str">
            <v>Tomasz</v>
          </cell>
          <cell r="C123" t="str">
            <v>MALCHAREK</v>
          </cell>
          <cell r="D123" t="str">
            <v>New Jersey</v>
          </cell>
        </row>
        <row r="124">
          <cell r="A124" t="str">
            <v>M0021</v>
          </cell>
          <cell r="B124" t="str">
            <v>Jerzy</v>
          </cell>
          <cell r="C124" t="str">
            <v>MISIAK</v>
          </cell>
          <cell r="D124" t="str">
            <v>Połaniec</v>
          </cell>
        </row>
        <row r="125">
          <cell r="A125" t="str">
            <v>M0022</v>
          </cell>
          <cell r="B125" t="str">
            <v>Paweł </v>
          </cell>
          <cell r="C125" t="str">
            <v>MOŹDZIERZ</v>
          </cell>
          <cell r="D125" t="str">
            <v>Gorlice</v>
          </cell>
        </row>
        <row r="126">
          <cell r="A126" t="str">
            <v>M0023</v>
          </cell>
          <cell r="B126" t="str">
            <v>Tymoteusz</v>
          </cell>
          <cell r="C126" t="str">
            <v>MALIK</v>
          </cell>
          <cell r="D126" t="str">
            <v>Tarnobrzeg</v>
          </cell>
        </row>
        <row r="127">
          <cell r="A127" t="str">
            <v>M0024</v>
          </cell>
          <cell r="B127" t="str">
            <v>Tomasz</v>
          </cell>
          <cell r="C127" t="str">
            <v>MATOGA</v>
          </cell>
          <cell r="D127" t="str">
            <v>Myślenice</v>
          </cell>
        </row>
        <row r="128">
          <cell r="A128" t="str">
            <v>M0025</v>
          </cell>
          <cell r="B128" t="str">
            <v>Bogdan</v>
          </cell>
          <cell r="C128" t="str">
            <v>MATOGA</v>
          </cell>
          <cell r="D128" t="str">
            <v>Myślenice</v>
          </cell>
        </row>
        <row r="129">
          <cell r="A129" t="str">
            <v>M0026</v>
          </cell>
          <cell r="B129" t="str">
            <v>Wojciech</v>
          </cell>
          <cell r="C129" t="str">
            <v>MACHAJ</v>
          </cell>
          <cell r="D129" t="str">
            <v>Mielec</v>
          </cell>
        </row>
        <row r="130">
          <cell r="A130" t="str">
            <v>N0001</v>
          </cell>
          <cell r="B130" t="str">
            <v>Andrzej</v>
          </cell>
          <cell r="C130" t="str">
            <v>NOSEK</v>
          </cell>
          <cell r="D130" t="str">
            <v>Tarnów</v>
          </cell>
        </row>
        <row r="131">
          <cell r="A131" t="str">
            <v>N0002</v>
          </cell>
          <cell r="B131" t="str">
            <v>Robert</v>
          </cell>
          <cell r="C131" t="str">
            <v>NOWAK</v>
          </cell>
          <cell r="D131" t="str">
            <v>Mielec</v>
          </cell>
        </row>
        <row r="132">
          <cell r="A132" t="str">
            <v>N0003</v>
          </cell>
          <cell r="B132" t="str">
            <v>Mateusz</v>
          </cell>
          <cell r="C132" t="str">
            <v>NOWAK</v>
          </cell>
          <cell r="D132" t="str">
            <v>Mielec</v>
          </cell>
        </row>
        <row r="133">
          <cell r="A133" t="str">
            <v>N0004</v>
          </cell>
          <cell r="B133" t="str">
            <v>Jakub</v>
          </cell>
          <cell r="C133" t="str">
            <v>NIZIOŁEK</v>
          </cell>
          <cell r="D133" t="str">
            <v>Mielec</v>
          </cell>
        </row>
        <row r="134">
          <cell r="A134" t="str">
            <v>N0005</v>
          </cell>
          <cell r="B134" t="str">
            <v>Izabela</v>
          </cell>
          <cell r="C134" t="str">
            <v>NOWAK</v>
          </cell>
          <cell r="D134" t="str">
            <v>Mielec</v>
          </cell>
        </row>
        <row r="135">
          <cell r="A135" t="str">
            <v>O0001</v>
          </cell>
          <cell r="B135" t="str">
            <v>Krzysztof</v>
          </cell>
          <cell r="C135" t="str">
            <v>OSTROWSKI</v>
          </cell>
          <cell r="D135" t="str">
            <v>Mielec</v>
          </cell>
        </row>
        <row r="136">
          <cell r="A136" t="str">
            <v>O0002</v>
          </cell>
          <cell r="B136" t="str">
            <v>Justyna</v>
          </cell>
          <cell r="C136" t="str">
            <v>OZGA</v>
          </cell>
          <cell r="D136" t="str">
            <v>Mielec</v>
          </cell>
        </row>
        <row r="137">
          <cell r="A137" t="str">
            <v>O0003</v>
          </cell>
          <cell r="B137" t="str">
            <v>Aleksandra</v>
          </cell>
          <cell r="C137" t="str">
            <v>OŻÓG</v>
          </cell>
          <cell r="D137" t="str">
            <v>Sokołów Młp.</v>
          </cell>
        </row>
        <row r="138">
          <cell r="A138" t="str">
            <v>O0004</v>
          </cell>
          <cell r="B138" t="str">
            <v>Krzysztof</v>
          </cell>
          <cell r="C138" t="str">
            <v>ORZECHOWICZ</v>
          </cell>
          <cell r="D138" t="str">
            <v>Jasło</v>
          </cell>
        </row>
        <row r="139">
          <cell r="A139" t="str">
            <v>O0005</v>
          </cell>
          <cell r="B139" t="str">
            <v>Michał</v>
          </cell>
          <cell r="C139" t="str">
            <v>ORZECHOWICZ</v>
          </cell>
          <cell r="D139" t="str">
            <v>Jasło</v>
          </cell>
        </row>
        <row r="140">
          <cell r="A140" t="str">
            <v>O0006</v>
          </cell>
          <cell r="B140" t="str">
            <v>Jessica</v>
          </cell>
          <cell r="C140" t="str">
            <v>ORZECHOWICZ</v>
          </cell>
          <cell r="D140" t="str">
            <v>Jasło</v>
          </cell>
        </row>
        <row r="141">
          <cell r="A141" t="str">
            <v>P0001</v>
          </cell>
          <cell r="B141" t="str">
            <v>Dagmara</v>
          </cell>
          <cell r="C141" t="str">
            <v>PEŁKA</v>
          </cell>
          <cell r="D141" t="str">
            <v>Nowa Dęba</v>
          </cell>
        </row>
        <row r="142">
          <cell r="A142" t="str">
            <v>P0002</v>
          </cell>
          <cell r="B142" t="str">
            <v>Dariusz</v>
          </cell>
          <cell r="C142" t="str">
            <v>PIEKARZ</v>
          </cell>
          <cell r="D142" t="str">
            <v>Gorlice</v>
          </cell>
        </row>
        <row r="143">
          <cell r="A143" t="str">
            <v>P0003</v>
          </cell>
          <cell r="B143" t="str">
            <v>Łukasz</v>
          </cell>
          <cell r="C143" t="str">
            <v>PIENIĄŻEK</v>
          </cell>
          <cell r="D143" t="str">
            <v>Rzeszów</v>
          </cell>
        </row>
        <row r="144">
          <cell r="A144" t="str">
            <v>P0004</v>
          </cell>
          <cell r="B144" t="str">
            <v>Paweł</v>
          </cell>
          <cell r="C144" t="str">
            <v>POCIASK</v>
          </cell>
          <cell r="D144" t="str">
            <v>Ropczyce</v>
          </cell>
        </row>
        <row r="145">
          <cell r="A145" t="str">
            <v>P0005</v>
          </cell>
          <cell r="B145" t="str">
            <v>Michał</v>
          </cell>
          <cell r="C145" t="str">
            <v>POCZĄTEK</v>
          </cell>
          <cell r="D145" t="str">
            <v>Szczucin</v>
          </cell>
        </row>
        <row r="146">
          <cell r="A146" t="str">
            <v>P0006</v>
          </cell>
          <cell r="B146" t="str">
            <v>Daniel</v>
          </cell>
          <cell r="C146" t="str">
            <v>PODLASIŃSKI</v>
          </cell>
          <cell r="D146" t="str">
            <v>Szczucin</v>
          </cell>
        </row>
        <row r="147">
          <cell r="A147" t="str">
            <v>P0007</v>
          </cell>
          <cell r="B147" t="str">
            <v>Piotr</v>
          </cell>
          <cell r="C147" t="str">
            <v>POŁOWNIAK</v>
          </cell>
          <cell r="D147" t="str">
            <v>Tarnobrzeg</v>
          </cell>
        </row>
        <row r="148">
          <cell r="A148" t="str">
            <v>P0008</v>
          </cell>
          <cell r="B148" t="str">
            <v>Dawid</v>
          </cell>
          <cell r="C148" t="str">
            <v>PTAK</v>
          </cell>
          <cell r="D148" t="str">
            <v>Tarnów</v>
          </cell>
        </row>
        <row r="149">
          <cell r="A149" t="str">
            <v>P0009</v>
          </cell>
          <cell r="B149" t="str">
            <v>Michał</v>
          </cell>
          <cell r="C149" t="str">
            <v>PRZYBYŁO</v>
          </cell>
          <cell r="D149" t="str">
            <v>Gorlice</v>
          </cell>
        </row>
        <row r="150">
          <cell r="A150" t="str">
            <v>P0010</v>
          </cell>
          <cell r="B150" t="str">
            <v>Dawid</v>
          </cell>
          <cell r="C150" t="str">
            <v>PIĄTEK</v>
          </cell>
          <cell r="D150" t="str">
            <v>Mielec</v>
          </cell>
        </row>
        <row r="151">
          <cell r="A151" t="str">
            <v>P0011</v>
          </cell>
          <cell r="B151" t="str">
            <v>Krzysztof</v>
          </cell>
          <cell r="C151" t="str">
            <v>PIECHOTA</v>
          </cell>
          <cell r="D151" t="str">
            <v>Mielec</v>
          </cell>
        </row>
        <row r="152">
          <cell r="A152" t="str">
            <v>P0012</v>
          </cell>
          <cell r="B152" t="str">
            <v>Tomasz</v>
          </cell>
          <cell r="C152" t="str">
            <v>PRZYBYŁO</v>
          </cell>
          <cell r="D152" t="str">
            <v>Gorlice</v>
          </cell>
        </row>
        <row r="153">
          <cell r="A153" t="str">
            <v>P0013</v>
          </cell>
          <cell r="B153" t="str">
            <v>Bartosz</v>
          </cell>
          <cell r="C153" t="str">
            <v>PIEKARZ</v>
          </cell>
          <cell r="D153" t="str">
            <v>Gorlice</v>
          </cell>
        </row>
        <row r="154">
          <cell r="A154" t="str">
            <v>P0014</v>
          </cell>
          <cell r="B154" t="str">
            <v>Jolanta</v>
          </cell>
          <cell r="C154" t="str">
            <v>PADUCH</v>
          </cell>
          <cell r="D154" t="str">
            <v>Nowa Dęba</v>
          </cell>
        </row>
        <row r="155">
          <cell r="A155" t="str">
            <v>P0015</v>
          </cell>
          <cell r="B155" t="str">
            <v>Jacek</v>
          </cell>
          <cell r="C155" t="str">
            <v>PĘKACKI</v>
          </cell>
          <cell r="D155" t="str">
            <v>Żyrardów</v>
          </cell>
        </row>
        <row r="156">
          <cell r="A156" t="str">
            <v>P0016</v>
          </cell>
          <cell r="B156" t="str">
            <v>Maciej</v>
          </cell>
          <cell r="C156" t="str">
            <v>PATRYN</v>
          </cell>
          <cell r="D156" t="str">
            <v>Strzyżów</v>
          </cell>
        </row>
        <row r="157">
          <cell r="A157" t="str">
            <v>P0017</v>
          </cell>
          <cell r="B157" t="str">
            <v>Anna</v>
          </cell>
          <cell r="C157" t="str">
            <v>PIWODA</v>
          </cell>
          <cell r="D157" t="str">
            <v>Jarosław</v>
          </cell>
        </row>
        <row r="158">
          <cell r="A158" t="str">
            <v>P0018</v>
          </cell>
          <cell r="B158" t="str">
            <v>Kamil</v>
          </cell>
          <cell r="C158" t="str">
            <v>PŁOCH</v>
          </cell>
          <cell r="D158" t="str">
            <v>Widełka</v>
          </cell>
        </row>
        <row r="159">
          <cell r="A159" t="str">
            <v>P0019</v>
          </cell>
          <cell r="B159" t="str">
            <v>Patryk</v>
          </cell>
          <cell r="C159" t="str">
            <v>PIETRAS</v>
          </cell>
          <cell r="D159" t="str">
            <v>Mielec</v>
          </cell>
        </row>
        <row r="160">
          <cell r="A160" t="str">
            <v>P0020</v>
          </cell>
          <cell r="B160" t="str">
            <v>Tomasz</v>
          </cell>
          <cell r="C160" t="str">
            <v>PROSZEK</v>
          </cell>
          <cell r="D160" t="str">
            <v>Myślenice</v>
          </cell>
        </row>
        <row r="161">
          <cell r="A161" t="str">
            <v>P0021</v>
          </cell>
          <cell r="B161" t="str">
            <v>Mikołaj</v>
          </cell>
          <cell r="C161" t="str">
            <v>POLAŃSKI</v>
          </cell>
          <cell r="D161" t="str">
            <v>Rzeszów</v>
          </cell>
        </row>
        <row r="162">
          <cell r="A162" t="str">
            <v>P0022</v>
          </cell>
          <cell r="B162" t="str">
            <v>Mateusz</v>
          </cell>
          <cell r="C162" t="str">
            <v>POTOCKI</v>
          </cell>
          <cell r="D162" t="str">
            <v>Krosno</v>
          </cell>
        </row>
        <row r="163">
          <cell r="A163" t="str">
            <v>R0001</v>
          </cell>
          <cell r="B163" t="str">
            <v>Andrzej</v>
          </cell>
          <cell r="C163" t="str">
            <v>RACHWAŁ</v>
          </cell>
          <cell r="D163" t="str">
            <v>Straszęcin</v>
          </cell>
        </row>
        <row r="164">
          <cell r="A164" t="str">
            <v>R0002</v>
          </cell>
          <cell r="B164" t="str">
            <v>Katarzyna</v>
          </cell>
          <cell r="C164" t="str">
            <v>RUMAK</v>
          </cell>
          <cell r="D164" t="str">
            <v>Widełka</v>
          </cell>
        </row>
        <row r="165">
          <cell r="A165" t="str">
            <v>R0003</v>
          </cell>
          <cell r="B165" t="str">
            <v>Dawid</v>
          </cell>
          <cell r="C165" t="str">
            <v>RZĄSA</v>
          </cell>
          <cell r="D165" t="str">
            <v>Nowa Dęba</v>
          </cell>
        </row>
        <row r="166">
          <cell r="A166" t="str">
            <v>R0004</v>
          </cell>
          <cell r="B166" t="str">
            <v>Dariusz</v>
          </cell>
          <cell r="C166" t="str">
            <v>RACHWAŁ</v>
          </cell>
          <cell r="D166" t="str">
            <v>Ropczyce</v>
          </cell>
        </row>
        <row r="167">
          <cell r="A167" t="str">
            <v>R0005</v>
          </cell>
          <cell r="B167" t="str">
            <v>Piotr</v>
          </cell>
          <cell r="C167" t="str">
            <v>REMBISZ</v>
          </cell>
          <cell r="D167" t="str">
            <v>Mielec</v>
          </cell>
        </row>
        <row r="168">
          <cell r="A168" t="str">
            <v>R0006</v>
          </cell>
          <cell r="B168" t="str">
            <v>Kasper</v>
          </cell>
          <cell r="C168" t="str">
            <v>RADOŃ</v>
          </cell>
          <cell r="D168" t="str">
            <v>Mielec</v>
          </cell>
        </row>
        <row r="169">
          <cell r="A169" t="str">
            <v>R0007</v>
          </cell>
          <cell r="B169" t="str">
            <v>Daria</v>
          </cell>
          <cell r="C169" t="str">
            <v>RYBIŃSKA</v>
          </cell>
          <cell r="D169" t="str">
            <v>Mielec</v>
          </cell>
        </row>
        <row r="170">
          <cell r="A170" t="str">
            <v>R0008</v>
          </cell>
          <cell r="B170" t="str">
            <v>Dawid</v>
          </cell>
          <cell r="C170" t="str">
            <v>RZESZUTEK</v>
          </cell>
          <cell r="D170" t="str">
            <v>Mielec</v>
          </cell>
        </row>
        <row r="171">
          <cell r="A171" t="str">
            <v>R0009</v>
          </cell>
          <cell r="B171" t="str">
            <v>Konrad</v>
          </cell>
          <cell r="C171" t="str">
            <v>ROŻNIAŁ</v>
          </cell>
          <cell r="D171" t="str">
            <v>Mielec</v>
          </cell>
        </row>
        <row r="172">
          <cell r="A172" t="str">
            <v>R0010</v>
          </cell>
          <cell r="B172" t="str">
            <v>Marek</v>
          </cell>
          <cell r="C172" t="str">
            <v>REGUŁA</v>
          </cell>
          <cell r="D172" t="str">
            <v>Mielec</v>
          </cell>
        </row>
        <row r="173">
          <cell r="A173" t="str">
            <v>R0011</v>
          </cell>
          <cell r="B173" t="str">
            <v>Urszula</v>
          </cell>
          <cell r="C173" t="str">
            <v>RUMAK</v>
          </cell>
          <cell r="D173" t="str">
            <v>Widełka</v>
          </cell>
        </row>
        <row r="174">
          <cell r="A174" t="str">
            <v>R0012</v>
          </cell>
          <cell r="B174" t="str">
            <v>Marek</v>
          </cell>
          <cell r="C174" t="str">
            <v>RZĄSA</v>
          </cell>
          <cell r="D174" t="str">
            <v>Nowa Dęba</v>
          </cell>
        </row>
        <row r="175">
          <cell r="A175" t="str">
            <v>R0013</v>
          </cell>
          <cell r="B175" t="str">
            <v>Natalia</v>
          </cell>
          <cell r="C175" t="str">
            <v>RÓG</v>
          </cell>
          <cell r="D175" t="str">
            <v>Nowa Dęba</v>
          </cell>
        </row>
        <row r="176">
          <cell r="A176" t="str">
            <v>S0001</v>
          </cell>
          <cell r="B176" t="str">
            <v>Justyna</v>
          </cell>
          <cell r="C176" t="str">
            <v>SABAT</v>
          </cell>
          <cell r="D176" t="str">
            <v>Sokołów Młp.</v>
          </cell>
        </row>
        <row r="177">
          <cell r="A177" t="str">
            <v>S0002</v>
          </cell>
          <cell r="B177" t="str">
            <v>Dominik</v>
          </cell>
          <cell r="C177" t="str">
            <v>SADO</v>
          </cell>
          <cell r="D177" t="str">
            <v>Ropczyce</v>
          </cell>
        </row>
        <row r="178">
          <cell r="A178" t="str">
            <v>S0003</v>
          </cell>
          <cell r="B178" t="str">
            <v>Sebastian</v>
          </cell>
          <cell r="C178" t="str">
            <v>SADO</v>
          </cell>
          <cell r="D178" t="str">
            <v>Ropczyce</v>
          </cell>
        </row>
        <row r="179">
          <cell r="A179" t="str">
            <v>S0004</v>
          </cell>
          <cell r="B179" t="str">
            <v>Łukasz</v>
          </cell>
          <cell r="C179" t="str">
            <v>SAŁEK</v>
          </cell>
          <cell r="D179" t="str">
            <v>Tarnobrzeg</v>
          </cell>
        </row>
        <row r="180">
          <cell r="A180" t="str">
            <v>S0005</v>
          </cell>
          <cell r="B180" t="str">
            <v>Adam</v>
          </cell>
          <cell r="C180" t="str">
            <v>SIDOR</v>
          </cell>
          <cell r="D180" t="str">
            <v>Sokołów Młp.</v>
          </cell>
        </row>
        <row r="181">
          <cell r="A181" t="str">
            <v>S0006</v>
          </cell>
          <cell r="B181" t="str">
            <v>Katarzyna</v>
          </cell>
          <cell r="C181" t="str">
            <v>SIERADZKA</v>
          </cell>
          <cell r="D181" t="str">
            <v>Rzeszów</v>
          </cell>
        </row>
        <row r="182">
          <cell r="A182" t="str">
            <v>S0007</v>
          </cell>
          <cell r="B182" t="str">
            <v>Wojciech</v>
          </cell>
          <cell r="C182" t="str">
            <v>SITKO</v>
          </cell>
          <cell r="D182" t="str">
            <v>Szczucin</v>
          </cell>
        </row>
        <row r="183">
          <cell r="A183" t="str">
            <v>S0008</v>
          </cell>
          <cell r="B183" t="str">
            <v>Agnieszka</v>
          </cell>
          <cell r="C183" t="str">
            <v>SKOWROŃSKA</v>
          </cell>
          <cell r="D183" t="str">
            <v>Nowa Dęba</v>
          </cell>
        </row>
        <row r="184">
          <cell r="A184" t="str">
            <v>S0009</v>
          </cell>
          <cell r="B184" t="str">
            <v>Piotr</v>
          </cell>
          <cell r="C184" t="str">
            <v>SKRZEK</v>
          </cell>
          <cell r="D184" t="str">
            <v>Straszęcin</v>
          </cell>
        </row>
        <row r="185">
          <cell r="A185" t="str">
            <v>S0010</v>
          </cell>
          <cell r="B185" t="str">
            <v>Rafał</v>
          </cell>
          <cell r="C185" t="str">
            <v>SKRZEK</v>
          </cell>
          <cell r="D185" t="str">
            <v>Straszęcin</v>
          </cell>
        </row>
        <row r="186">
          <cell r="A186" t="str">
            <v>S0011</v>
          </cell>
          <cell r="B186" t="str">
            <v>Szymon</v>
          </cell>
          <cell r="C186" t="str">
            <v>SOBOŃ</v>
          </cell>
          <cell r="D186" t="str">
            <v>Sokołów Młp.</v>
          </cell>
        </row>
        <row r="187">
          <cell r="A187" t="str">
            <v>S0012</v>
          </cell>
          <cell r="B187" t="str">
            <v>Mateusz</v>
          </cell>
          <cell r="C187" t="str">
            <v>SOŁTYS</v>
          </cell>
          <cell r="D187" t="str">
            <v>Szczucin</v>
          </cell>
        </row>
        <row r="188">
          <cell r="A188" t="str">
            <v>S0013</v>
          </cell>
          <cell r="B188" t="str">
            <v>Jacek</v>
          </cell>
          <cell r="C188" t="str">
            <v>STAWARZ</v>
          </cell>
          <cell r="D188" t="str">
            <v>Uppsala</v>
          </cell>
        </row>
        <row r="189">
          <cell r="A189" t="str">
            <v>S0014</v>
          </cell>
          <cell r="B189" t="str">
            <v>Łukasz</v>
          </cell>
          <cell r="C189" t="str">
            <v>STOCHLIŃSKI</v>
          </cell>
          <cell r="D189" t="str">
            <v>Szczucin</v>
          </cell>
        </row>
        <row r="190">
          <cell r="A190" t="str">
            <v>S0015</v>
          </cell>
          <cell r="B190" t="str">
            <v>Alicja</v>
          </cell>
          <cell r="C190" t="str">
            <v>STYSŁAWSKA</v>
          </cell>
          <cell r="D190" t="str">
            <v>Szczucin</v>
          </cell>
        </row>
        <row r="191">
          <cell r="A191" t="str">
            <v>S0016</v>
          </cell>
          <cell r="B191" t="str">
            <v>Piotr</v>
          </cell>
          <cell r="C191" t="str">
            <v>SUROWIEC</v>
          </cell>
          <cell r="D191" t="str">
            <v>Widełka</v>
          </cell>
        </row>
        <row r="192">
          <cell r="A192" t="str">
            <v>S0017</v>
          </cell>
          <cell r="B192" t="str">
            <v>Kacper</v>
          </cell>
          <cell r="C192" t="str">
            <v>SZYMCZYK</v>
          </cell>
          <cell r="D192" t="str">
            <v>Mielec</v>
          </cell>
        </row>
        <row r="193">
          <cell r="A193" t="str">
            <v>S0018</v>
          </cell>
          <cell r="B193" t="str">
            <v>Wojciech</v>
          </cell>
          <cell r="C193" t="str">
            <v>SMAGAŁA</v>
          </cell>
          <cell r="D193" t="str">
            <v>Ropczyce</v>
          </cell>
        </row>
        <row r="194">
          <cell r="A194" t="str">
            <v>S0019</v>
          </cell>
          <cell r="B194" t="str">
            <v>Katarzyna </v>
          </cell>
          <cell r="C194" t="str">
            <v>SŁOMBA</v>
          </cell>
          <cell r="D194" t="str">
            <v>Mielec</v>
          </cell>
        </row>
        <row r="195">
          <cell r="A195" t="str">
            <v>S0020</v>
          </cell>
          <cell r="B195" t="str">
            <v>Mariusz</v>
          </cell>
          <cell r="C195" t="str">
            <v>SŁOMBA</v>
          </cell>
          <cell r="D195" t="str">
            <v>Mielec</v>
          </cell>
        </row>
        <row r="196">
          <cell r="A196" t="str">
            <v>S0021</v>
          </cell>
          <cell r="B196" t="str">
            <v>Karolina</v>
          </cell>
          <cell r="C196" t="str">
            <v>SMOŁKOWICZ</v>
          </cell>
          <cell r="D196" t="str">
            <v>Gorlice</v>
          </cell>
        </row>
        <row r="197">
          <cell r="A197" t="str">
            <v>S0022</v>
          </cell>
          <cell r="B197" t="str">
            <v>Maciej </v>
          </cell>
          <cell r="C197" t="str">
            <v>SZUREK</v>
          </cell>
          <cell r="D197" t="str">
            <v>Gorlice</v>
          </cell>
        </row>
        <row r="198">
          <cell r="A198" t="str">
            <v>S0023</v>
          </cell>
          <cell r="B198" t="str">
            <v>Dariusz</v>
          </cell>
          <cell r="C198" t="str">
            <v>STAŃKO</v>
          </cell>
          <cell r="D198" t="str">
            <v>Przemyśl</v>
          </cell>
        </row>
        <row r="199">
          <cell r="A199" t="str">
            <v>S0024</v>
          </cell>
          <cell r="B199" t="str">
            <v>Grzegorz</v>
          </cell>
          <cell r="C199" t="str">
            <v>STAŃKO</v>
          </cell>
          <cell r="D199" t="str">
            <v>Przemyśl</v>
          </cell>
        </row>
        <row r="200">
          <cell r="A200" t="str">
            <v>S0025</v>
          </cell>
          <cell r="B200" t="str">
            <v>Wojciech</v>
          </cell>
          <cell r="C200" t="str">
            <v>STAŃKO</v>
          </cell>
          <cell r="D200" t="str">
            <v>Przemyśl</v>
          </cell>
        </row>
        <row r="201">
          <cell r="A201" t="str">
            <v>S0026</v>
          </cell>
          <cell r="B201" t="str">
            <v>Mateusz</v>
          </cell>
          <cell r="C201" t="str">
            <v>STANISZ</v>
          </cell>
          <cell r="D201" t="str">
            <v>Ropczyce</v>
          </cell>
        </row>
        <row r="202">
          <cell r="A202" t="str">
            <v>S0027</v>
          </cell>
          <cell r="B202" t="str">
            <v>Wiktor</v>
          </cell>
          <cell r="C202" t="str">
            <v>SALAMON</v>
          </cell>
          <cell r="D202" t="str">
            <v>Tarnobrzeg</v>
          </cell>
        </row>
        <row r="203">
          <cell r="A203" t="str">
            <v>S0028</v>
          </cell>
          <cell r="B203" t="str">
            <v>Tobiasz</v>
          </cell>
          <cell r="C203" t="str">
            <v>SAŁAGAJ</v>
          </cell>
          <cell r="D203" t="str">
            <v>Mielec</v>
          </cell>
        </row>
        <row r="204">
          <cell r="A204" t="str">
            <v>S0029</v>
          </cell>
          <cell r="B204" t="str">
            <v>Patryk</v>
          </cell>
          <cell r="C204" t="str">
            <v>STOLARZ</v>
          </cell>
          <cell r="D204" t="str">
            <v>Mielec</v>
          </cell>
        </row>
        <row r="205">
          <cell r="A205" t="str">
            <v>S0030</v>
          </cell>
          <cell r="B205" t="str">
            <v>Karol</v>
          </cell>
          <cell r="C205" t="str">
            <v>SZYMURA</v>
          </cell>
          <cell r="D205" t="str">
            <v>Szczucin</v>
          </cell>
        </row>
        <row r="206">
          <cell r="A206" t="str">
            <v>S0031</v>
          </cell>
          <cell r="B206" t="str">
            <v>Marcin</v>
          </cell>
          <cell r="C206" t="str">
            <v>STANECKI</v>
          </cell>
          <cell r="D206" t="str">
            <v>Kraków</v>
          </cell>
        </row>
        <row r="207">
          <cell r="A207" t="str">
            <v>S0032</v>
          </cell>
          <cell r="B207" t="str">
            <v>Łukasz</v>
          </cell>
          <cell r="C207" t="str">
            <v>SZANTULA</v>
          </cell>
          <cell r="D207" t="str">
            <v>Mielec</v>
          </cell>
        </row>
        <row r="208">
          <cell r="A208" t="str">
            <v>S0033</v>
          </cell>
          <cell r="B208" t="str">
            <v>Mikołaj</v>
          </cell>
          <cell r="C208" t="str">
            <v>STRAŻ</v>
          </cell>
          <cell r="D208" t="str">
            <v>Mielec</v>
          </cell>
        </row>
        <row r="209">
          <cell r="A209" t="str">
            <v>S0034</v>
          </cell>
          <cell r="B209" t="str">
            <v>Jakub</v>
          </cell>
          <cell r="C209" t="str">
            <v>SITEK</v>
          </cell>
          <cell r="D209" t="str">
            <v>Rzeszów</v>
          </cell>
        </row>
        <row r="210">
          <cell r="A210" t="str">
            <v>Ś0001</v>
          </cell>
          <cell r="B210" t="str">
            <v>Jakub</v>
          </cell>
          <cell r="C210" t="str">
            <v>ŚLIWA</v>
          </cell>
          <cell r="D210" t="str">
            <v>Gorlice</v>
          </cell>
        </row>
        <row r="211">
          <cell r="A211" t="str">
            <v>Ś0002</v>
          </cell>
          <cell r="B211" t="str">
            <v>Ernest</v>
          </cell>
          <cell r="C211" t="str">
            <v>ŚCIPIEŃ</v>
          </cell>
          <cell r="D211" t="str">
            <v>Nowa Dęba</v>
          </cell>
        </row>
        <row r="212">
          <cell r="A212" t="str">
            <v>T0001</v>
          </cell>
          <cell r="B212" t="str">
            <v>Agata</v>
          </cell>
          <cell r="C212" t="str">
            <v>TARASZKA</v>
          </cell>
          <cell r="D212" t="str">
            <v>Nowa Dęba</v>
          </cell>
        </row>
        <row r="213">
          <cell r="A213" t="str">
            <v>T0002</v>
          </cell>
          <cell r="B213" t="str">
            <v>Mariusz</v>
          </cell>
          <cell r="C213" t="str">
            <v>TOCHOWICZ</v>
          </cell>
          <cell r="D213" t="str">
            <v>Tarnów</v>
          </cell>
        </row>
        <row r="214">
          <cell r="A214" t="str">
            <v>T0003</v>
          </cell>
          <cell r="B214" t="str">
            <v>Izabela</v>
          </cell>
          <cell r="C214" t="str">
            <v>TOMCZYK</v>
          </cell>
          <cell r="D214" t="str">
            <v>Nowa Dęba</v>
          </cell>
        </row>
        <row r="215">
          <cell r="A215" t="str">
            <v>T0004</v>
          </cell>
          <cell r="B215" t="str">
            <v>Grzegorz</v>
          </cell>
          <cell r="C215" t="str">
            <v>TALAR</v>
          </cell>
          <cell r="D215" t="str">
            <v>Szczucin</v>
          </cell>
        </row>
        <row r="216">
          <cell r="A216" t="str">
            <v>T0005</v>
          </cell>
          <cell r="B216" t="str">
            <v>Artur</v>
          </cell>
          <cell r="C216" t="str">
            <v>TUKENDORF</v>
          </cell>
          <cell r="D216" t="str">
            <v>Kraków</v>
          </cell>
        </row>
        <row r="217">
          <cell r="A217" t="str">
            <v>U0001</v>
          </cell>
          <cell r="B217" t="str">
            <v>Przemysław</v>
          </cell>
          <cell r="C217" t="str">
            <v>URBAN</v>
          </cell>
          <cell r="D217" t="str">
            <v>Rzeszów</v>
          </cell>
        </row>
        <row r="218">
          <cell r="A218" t="str">
            <v>U0002</v>
          </cell>
          <cell r="B218" t="str">
            <v>Tomasz</v>
          </cell>
          <cell r="C218" t="str">
            <v>URBANIK</v>
          </cell>
          <cell r="D218" t="str">
            <v>Gorlice</v>
          </cell>
        </row>
        <row r="219">
          <cell r="A219" t="str">
            <v>W0001</v>
          </cell>
          <cell r="B219" t="str">
            <v>Mariusz</v>
          </cell>
          <cell r="C219" t="str">
            <v>WILCZAK</v>
          </cell>
          <cell r="D219" t="str">
            <v>Sokołów Młp.</v>
          </cell>
        </row>
        <row r="220">
          <cell r="A220" t="str">
            <v>W0002</v>
          </cell>
          <cell r="B220" t="str">
            <v>Dariusz</v>
          </cell>
          <cell r="C220" t="str">
            <v>WILK</v>
          </cell>
          <cell r="D220" t="str">
            <v>Kolbuszowa</v>
          </cell>
        </row>
        <row r="221">
          <cell r="A221" t="str">
            <v>W0003</v>
          </cell>
          <cell r="B221" t="str">
            <v>Krystian</v>
          </cell>
          <cell r="C221" t="str">
            <v>WILK</v>
          </cell>
          <cell r="D221" t="str">
            <v>Mielec</v>
          </cell>
        </row>
        <row r="222">
          <cell r="A222" t="str">
            <v>W0004</v>
          </cell>
          <cell r="B222" t="str">
            <v>Michał</v>
          </cell>
          <cell r="C222" t="str">
            <v>WIĄCEK</v>
          </cell>
          <cell r="D222" t="str">
            <v>Mielec</v>
          </cell>
        </row>
        <row r="223">
          <cell r="A223" t="str">
            <v>W0005</v>
          </cell>
          <cell r="B223" t="str">
            <v>Sebastian</v>
          </cell>
          <cell r="C223" t="str">
            <v>WERON</v>
          </cell>
          <cell r="D223" t="str">
            <v>Gorlice</v>
          </cell>
        </row>
        <row r="224">
          <cell r="A224" t="str">
            <v>W0006</v>
          </cell>
          <cell r="B224" t="str">
            <v>Grażyna</v>
          </cell>
          <cell r="C224" t="str">
            <v>WILCZEWSKA</v>
          </cell>
          <cell r="D224" t="str">
            <v>Strzyżów</v>
          </cell>
        </row>
        <row r="225">
          <cell r="A225" t="str">
            <v>W0007</v>
          </cell>
          <cell r="B225" t="str">
            <v>Mariusz</v>
          </cell>
          <cell r="C225" t="str">
            <v>WILCZEWSKI</v>
          </cell>
          <cell r="D225" t="str">
            <v>Strzyżów</v>
          </cell>
        </row>
        <row r="226">
          <cell r="A226" t="str">
            <v>W0008</v>
          </cell>
          <cell r="B226" t="str">
            <v>Henryk</v>
          </cell>
          <cell r="C226" t="str">
            <v>WARZECHA</v>
          </cell>
          <cell r="D226" t="str">
            <v>Kraków</v>
          </cell>
        </row>
        <row r="227">
          <cell r="A227" t="str">
            <v>W0009</v>
          </cell>
          <cell r="B227" t="str">
            <v>Karol</v>
          </cell>
          <cell r="C227" t="str">
            <v>WESOŁOWSKI</v>
          </cell>
          <cell r="D227" t="str">
            <v>Mielec</v>
          </cell>
        </row>
        <row r="228">
          <cell r="A228" t="str">
            <v>W0010</v>
          </cell>
          <cell r="B228" t="str">
            <v>Dariusz</v>
          </cell>
          <cell r="C228" t="str">
            <v>WALAS</v>
          </cell>
          <cell r="D228" t="str">
            <v>Rzeszów</v>
          </cell>
        </row>
        <row r="229">
          <cell r="A229" t="str">
            <v>W0011</v>
          </cell>
          <cell r="B229" t="str">
            <v>Arkadiusz</v>
          </cell>
          <cell r="C229" t="str">
            <v>WÓJCIK</v>
          </cell>
          <cell r="D229" t="str">
            <v>Wieliczka</v>
          </cell>
        </row>
        <row r="230">
          <cell r="A230" t="str">
            <v>W0012</v>
          </cell>
          <cell r="B230" t="str">
            <v>Tomasz</v>
          </cell>
          <cell r="C230" t="str">
            <v>WYDRO</v>
          </cell>
          <cell r="D230" t="str">
            <v>Mielec</v>
          </cell>
        </row>
        <row r="231">
          <cell r="A231" t="str">
            <v>Z0001</v>
          </cell>
          <cell r="B231" t="str">
            <v>Jacek</v>
          </cell>
          <cell r="C231" t="str">
            <v>ZABAWA</v>
          </cell>
          <cell r="D231" t="str">
            <v>Tarnów</v>
          </cell>
        </row>
        <row r="232">
          <cell r="A232" t="str">
            <v>Z0002</v>
          </cell>
          <cell r="B232" t="str">
            <v>Konrad</v>
          </cell>
          <cell r="C232" t="str">
            <v>ZAUCHA</v>
          </cell>
          <cell r="D232" t="str">
            <v>Straszęcin</v>
          </cell>
        </row>
        <row r="233">
          <cell r="A233" t="str">
            <v>Z0003</v>
          </cell>
          <cell r="B233" t="str">
            <v>Paweł</v>
          </cell>
          <cell r="C233" t="str">
            <v>ZAUCHA</v>
          </cell>
          <cell r="D233" t="str">
            <v>Straszęcin</v>
          </cell>
        </row>
        <row r="234">
          <cell r="A234" t="str">
            <v>Z0004</v>
          </cell>
          <cell r="B234" t="str">
            <v>Aleksandra</v>
          </cell>
          <cell r="C234" t="str">
            <v>ZUBER</v>
          </cell>
          <cell r="D234" t="str">
            <v>Widełka</v>
          </cell>
        </row>
        <row r="235">
          <cell r="A235" t="str">
            <v>Z0005</v>
          </cell>
          <cell r="B235" t="str">
            <v>Łukasz</v>
          </cell>
          <cell r="C235" t="str">
            <v>ZYGORA</v>
          </cell>
          <cell r="D235" t="str">
            <v>Widełka</v>
          </cell>
        </row>
        <row r="236">
          <cell r="A236" t="str">
            <v>Ż0001</v>
          </cell>
          <cell r="B236" t="str">
            <v>Monika</v>
          </cell>
          <cell r="C236" t="str">
            <v>ŻARÓW</v>
          </cell>
          <cell r="D236" t="str">
            <v>Nowa Dęba</v>
          </cell>
        </row>
        <row r="237">
          <cell r="A237" t="str">
            <v>Ż0002</v>
          </cell>
          <cell r="B237" t="str">
            <v>Mateusz</v>
          </cell>
          <cell r="C237" t="str">
            <v>ŻĄDŁO</v>
          </cell>
          <cell r="D237" t="str">
            <v>Kolbuszowa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K221"/>
  <sheetViews>
    <sheetView tabSelected="1" zoomScalePageLayoutView="0" workbookViewId="0" topLeftCell="P38">
      <selection activeCell="AC182" sqref="AC182:AC184"/>
    </sheetView>
  </sheetViews>
  <sheetFormatPr defaultColWidth="9.28125" defaultRowHeight="15"/>
  <cols>
    <col min="1" max="1" width="2.28125" style="1" hidden="1" customWidth="1"/>
    <col min="2" max="2" width="6.7109375" style="2" hidden="1" customWidth="1"/>
    <col min="3" max="3" width="9.28125" style="2" hidden="1" customWidth="1"/>
    <col min="4" max="4" width="7.28125" style="2" hidden="1" customWidth="1"/>
    <col min="5" max="5" width="9.28125" style="2" hidden="1" customWidth="1"/>
    <col min="6" max="6" width="6.7109375" style="2" hidden="1" customWidth="1"/>
    <col min="7" max="7" width="9.28125" style="2" hidden="1" customWidth="1"/>
    <col min="8" max="8" width="15.28125" style="2" hidden="1" customWidth="1"/>
    <col min="9" max="9" width="19.7109375" style="2" hidden="1" customWidth="1"/>
    <col min="10" max="11" width="6.7109375" style="8" hidden="1" customWidth="1"/>
    <col min="12" max="12" width="10.7109375" style="8" hidden="1" customWidth="1"/>
    <col min="13" max="13" width="26.140625" style="2" hidden="1" customWidth="1"/>
    <col min="14" max="14" width="11.7109375" style="28" hidden="1" customWidth="1"/>
    <col min="15" max="15" width="3.140625" style="8" hidden="1" customWidth="1"/>
    <col min="16" max="16" width="3.00390625" style="8" customWidth="1"/>
    <col min="17" max="17" width="12.140625" style="87" customWidth="1"/>
    <col min="18" max="19" width="4.140625" style="87" customWidth="1"/>
    <col min="20" max="20" width="3.421875" style="87" bestFit="1" customWidth="1"/>
    <col min="21" max="21" width="55.7109375" style="87" customWidth="1"/>
    <col min="22" max="22" width="3.7109375" style="87" customWidth="1"/>
    <col min="23" max="25" width="6.7109375" style="87" customWidth="1"/>
    <col min="26" max="27" width="8.7109375" style="87" bestFit="1" customWidth="1"/>
    <col min="28" max="28" width="8.7109375" style="87" customWidth="1"/>
    <col min="29" max="29" width="7.7109375" style="87" bestFit="1" customWidth="1"/>
    <col min="30" max="30" width="7.7109375" style="87" customWidth="1"/>
    <col min="31" max="31" width="7.7109375" style="12" customWidth="1"/>
    <col min="32" max="32" width="7.7109375" style="12" hidden="1" customWidth="1"/>
    <col min="33" max="33" width="4.140625" style="12" hidden="1" customWidth="1"/>
    <col min="34" max="45" width="2.140625" style="12" hidden="1" customWidth="1"/>
    <col min="46" max="47" width="2.28125" style="12" hidden="1" customWidth="1"/>
    <col min="48" max="53" width="2.140625" style="12" hidden="1" customWidth="1"/>
    <col min="54" max="55" width="3.7109375" style="12" hidden="1" customWidth="1"/>
    <col min="56" max="61" width="2.140625" style="12" hidden="1" customWidth="1"/>
    <col min="62" max="62" width="8.140625" style="12" hidden="1" customWidth="1"/>
    <col min="63" max="63" width="11.28125" style="13" hidden="1" customWidth="1"/>
    <col min="64" max="64" width="0" style="2" hidden="1" customWidth="1"/>
    <col min="65" max="65" width="15.28125" style="2" hidden="1" customWidth="1"/>
    <col min="66" max="67" width="0" style="2" hidden="1" customWidth="1"/>
    <col min="68" max="16384" width="9.28125" style="2" customWidth="1"/>
  </cols>
  <sheetData>
    <row r="1" spans="10:63" ht="12" customHeight="1">
      <c r="J1" s="3"/>
      <c r="K1" s="3"/>
      <c r="L1" s="3"/>
      <c r="N1" s="4"/>
      <c r="O1" s="3"/>
      <c r="P1" s="3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7"/>
    </row>
    <row r="2" spans="10:63" ht="12" customHeight="1">
      <c r="J2" s="3"/>
      <c r="K2" s="3"/>
      <c r="L2" s="3"/>
      <c r="N2" s="4"/>
      <c r="O2" s="3"/>
      <c r="P2" s="3"/>
      <c r="Q2" s="170" t="str">
        <f>IF(ISBLANK('[1]dane'!$D$3),"",'[1]dane'!$D$3)</f>
        <v>Mielec,  20-10-2012 r.</v>
      </c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7"/>
    </row>
    <row r="3" spans="10:63" ht="12" customHeight="1">
      <c r="J3" s="3"/>
      <c r="K3" s="3"/>
      <c r="L3" s="3"/>
      <c r="N3" s="4"/>
      <c r="O3" s="3"/>
      <c r="P3" s="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7"/>
    </row>
    <row r="4" spans="13:31" ht="11.25" customHeight="1">
      <c r="M4" s="9"/>
      <c r="N4" s="10" t="s">
        <v>1</v>
      </c>
      <c r="Q4" s="171" t="str">
        <f>"Gra "&amp;N4</f>
        <v>Gra Runners Up</v>
      </c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</row>
    <row r="5" spans="10:63" ht="12" customHeight="1" thickBot="1">
      <c r="J5" s="3"/>
      <c r="K5" s="3"/>
      <c r="L5" s="3"/>
      <c r="N5" s="4"/>
      <c r="O5" s="3"/>
      <c r="P5" s="3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7"/>
    </row>
    <row r="6" spans="14:32" ht="11.25" customHeight="1" thickBot="1">
      <c r="N6" s="8"/>
      <c r="O6" s="14">
        <v>1</v>
      </c>
      <c r="Q6" s="171" t="str">
        <f>"Grupa "&amp;O6&amp;"."</f>
        <v>Grupa 1.</v>
      </c>
      <c r="R6" s="171"/>
      <c r="S6" s="172"/>
      <c r="T6" s="15" t="s">
        <v>2</v>
      </c>
      <c r="U6" s="173" t="s">
        <v>3</v>
      </c>
      <c r="V6" s="174"/>
      <c r="W6" s="15">
        <v>1</v>
      </c>
      <c r="X6" s="17">
        <v>2</v>
      </c>
      <c r="Y6" s="18">
        <v>3</v>
      </c>
      <c r="Z6" s="19" t="s">
        <v>4</v>
      </c>
      <c r="AA6" s="20" t="s">
        <v>5</v>
      </c>
      <c r="AB6" s="20" t="s">
        <v>6</v>
      </c>
      <c r="AC6" s="21" t="s">
        <v>7</v>
      </c>
      <c r="AD6" s="2"/>
      <c r="AE6" s="22"/>
      <c r="AF6" s="22"/>
    </row>
    <row r="7" spans="10:45" ht="11.25" customHeight="1">
      <c r="J7" s="23"/>
      <c r="K7" s="23"/>
      <c r="L7" s="23"/>
      <c r="N7" s="24" t="s">
        <v>1</v>
      </c>
      <c r="Q7" s="175" t="s">
        <v>8</v>
      </c>
      <c r="R7" s="175"/>
      <c r="S7" s="176" t="s">
        <v>9</v>
      </c>
      <c r="T7" s="177">
        <v>1</v>
      </c>
      <c r="U7" s="180">
        <f>IF(AND(N8&lt;&gt;"",N9&lt;&gt;""),CONCATENATE(VLOOKUP(N8,'[1]zawodnicy'!$A:$E,1,FALSE)," ",VLOOKUP(N8,'[1]zawodnicy'!$A:$E,2,FALSE)," ",VLOOKUP(N8,'[1]zawodnicy'!$A:$E,3,FALSE)," - ",VLOOKUP(N8,'[1]zawodnicy'!$A:$E,4,FALSE)),"")</f>
      </c>
      <c r="V7" s="181"/>
      <c r="W7" s="25"/>
      <c r="X7" s="26" t="str">
        <f>IF(SUM(AN12:AO12)=0,"",AN12&amp;":"&amp;AO12)</f>
        <v>21:13</v>
      </c>
      <c r="Y7" s="27" t="str">
        <f>IF(SUM(AN10:AO10)=0,"",AN10&amp;":"&amp;AO10)</f>
        <v>19:21</v>
      </c>
      <c r="Z7" s="177" t="str">
        <f>IF(SUM(AX10:BA10)=0,"",BD10&amp;":"&amp;BE10)</f>
        <v>103:79</v>
      </c>
      <c r="AA7" s="182" t="str">
        <f>IF(SUM(AX10:BA10)=0,"",BF10&amp;":"&amp;BG10)</f>
        <v>4:1</v>
      </c>
      <c r="AB7" s="182" t="str">
        <f>IF(SUM(AX10:BA10)=0,"",BH10&amp;":"&amp;BI10)</f>
        <v>2:0</v>
      </c>
      <c r="AC7" s="185">
        <f>IF(SUM(BH10:BH12)&gt;0,BJ10,"")</f>
        <v>1</v>
      </c>
      <c r="AD7" s="2"/>
      <c r="AE7" s="22"/>
      <c r="AF7" s="22"/>
      <c r="AG7" s="28"/>
      <c r="AH7" s="188" t="s">
        <v>10</v>
      </c>
      <c r="AI7" s="188"/>
      <c r="AJ7" s="188"/>
      <c r="AK7" s="188"/>
      <c r="AL7" s="188"/>
      <c r="AM7" s="188"/>
      <c r="AN7" s="188" t="s">
        <v>11</v>
      </c>
      <c r="AO7" s="188"/>
      <c r="AP7" s="188"/>
      <c r="AQ7" s="188"/>
      <c r="AR7" s="188"/>
      <c r="AS7" s="188"/>
    </row>
    <row r="8" spans="9:59" ht="11.25" customHeight="1" thickBot="1">
      <c r="I8" s="2" t="str">
        <f>"1"&amp;O6&amp;N7</f>
        <v>11Runners Up</v>
      </c>
      <c r="J8" s="29" t="str">
        <f>IF(AC7="","",IF(AC7=1,N8,IF(AC10=1,N11,IF(AC13=1,N14,""))))</f>
        <v>N0002</v>
      </c>
      <c r="K8" s="29">
        <f>IF(AC7="","",IF(AC7=1,N9,IF(AC10=1,N12,IF(AC13=1,N15,""))))</f>
        <v>0</v>
      </c>
      <c r="L8" s="29"/>
      <c r="N8" s="30" t="s">
        <v>12</v>
      </c>
      <c r="O8" s="31">
        <f>IF(O6&gt;0,(O6&amp;1)*1,"")</f>
        <v>11</v>
      </c>
      <c r="Q8" s="175"/>
      <c r="R8" s="175"/>
      <c r="S8" s="176"/>
      <c r="T8" s="178"/>
      <c r="U8" s="189" t="str">
        <f>IF(AND(N8&lt;&gt;"",N9=""),CONCATENATE(VLOOKUP(N8,'[1]zawodnicy'!$A:$E,1,FALSE)," ",VLOOKUP(N8,'[1]zawodnicy'!$A:$E,2,FALSE)," ",VLOOKUP(N8,'[1]zawodnicy'!$A:$E,3,FALSE)," - ",VLOOKUP(N8,'[1]zawodnicy'!$A:$E,4,FALSE)),"")</f>
        <v>N0002 Robert NOWAK - Mielec</v>
      </c>
      <c r="V8" s="190"/>
      <c r="W8" s="32"/>
      <c r="X8" s="33" t="str">
        <f>IF(SUM(AP12:AQ12)=0,"",AP12&amp;":"&amp;AQ12)</f>
        <v>21:13</v>
      </c>
      <c r="Y8" s="34" t="str">
        <f>IF(SUM(AP10:AQ10)=0,"",AP10&amp;":"&amp;AQ10)</f>
        <v>21:14</v>
      </c>
      <c r="Z8" s="178"/>
      <c r="AA8" s="183"/>
      <c r="AB8" s="183"/>
      <c r="AC8" s="186"/>
      <c r="AD8" s="2"/>
      <c r="AE8" s="22"/>
      <c r="AF8" s="22"/>
      <c r="AG8" s="28"/>
      <c r="BD8" s="12">
        <f>SUM(BD10:BD12)</f>
        <v>234</v>
      </c>
      <c r="BE8" s="12">
        <f>SUM(BE10:BE12)</f>
        <v>234</v>
      </c>
      <c r="BF8" s="12">
        <f>SUM(BF10:BF12)</f>
        <v>7</v>
      </c>
      <c r="BG8" s="12">
        <f>SUM(BG10:BG12)</f>
        <v>7</v>
      </c>
    </row>
    <row r="9" spans="10:63" ht="11.25" customHeight="1" thickBot="1">
      <c r="J9" s="29"/>
      <c r="K9" s="23"/>
      <c r="L9" s="23"/>
      <c r="N9" s="35"/>
      <c r="O9" s="23"/>
      <c r="P9" s="23"/>
      <c r="Q9" s="175"/>
      <c r="R9" s="175"/>
      <c r="S9" s="176"/>
      <c r="T9" s="179"/>
      <c r="U9" s="191">
        <f>IF(N9&lt;&gt;"",CONCATENATE(VLOOKUP(N9,'[1]zawodnicy'!$A:$E,1,FALSE)," ",VLOOKUP(N9,'[1]zawodnicy'!$A:$E,2,FALSE)," ",VLOOKUP(N9,'[1]zawodnicy'!$A:$E,3,FALSE)," - ",VLOOKUP(N9,'[1]zawodnicy'!$A:$E,4,FALSE)),"")</f>
      </c>
      <c r="V9" s="192"/>
      <c r="W9" s="32"/>
      <c r="X9" s="36">
        <f>IF(SUM(AR12:AS12)=0,"",AR12&amp;":"&amp;AS12)</f>
      </c>
      <c r="Y9" s="37" t="str">
        <f>IF(SUM(AR10:AS10)=0,"",AR10&amp;":"&amp;AS10)</f>
        <v>21:18</v>
      </c>
      <c r="Z9" s="179"/>
      <c r="AA9" s="184"/>
      <c r="AB9" s="184"/>
      <c r="AC9" s="187"/>
      <c r="AD9" s="2"/>
      <c r="AE9" s="22"/>
      <c r="AF9" s="22"/>
      <c r="AG9" s="28"/>
      <c r="AH9" s="193" t="s">
        <v>13</v>
      </c>
      <c r="AI9" s="194"/>
      <c r="AJ9" s="195" t="s">
        <v>14</v>
      </c>
      <c r="AK9" s="194"/>
      <c r="AL9" s="195" t="s">
        <v>15</v>
      </c>
      <c r="AM9" s="196"/>
      <c r="AN9" s="193" t="s">
        <v>13</v>
      </c>
      <c r="AO9" s="194"/>
      <c r="AP9" s="195" t="s">
        <v>14</v>
      </c>
      <c r="AQ9" s="194"/>
      <c r="AR9" s="195" t="s">
        <v>15</v>
      </c>
      <c r="AS9" s="194"/>
      <c r="AT9" s="22"/>
      <c r="AU9" s="22"/>
      <c r="AV9" s="193">
        <v>1</v>
      </c>
      <c r="AW9" s="194"/>
      <c r="AX9" s="195">
        <v>2</v>
      </c>
      <c r="AY9" s="194"/>
      <c r="AZ9" s="195">
        <v>3</v>
      </c>
      <c r="BA9" s="196"/>
      <c r="BD9" s="193" t="s">
        <v>4</v>
      </c>
      <c r="BE9" s="196"/>
      <c r="BF9" s="193" t="s">
        <v>5</v>
      </c>
      <c r="BG9" s="196"/>
      <c r="BH9" s="193" t="s">
        <v>6</v>
      </c>
      <c r="BI9" s="196"/>
      <c r="BJ9" s="38" t="s">
        <v>7</v>
      </c>
      <c r="BK9" s="13">
        <f>SUM(BK10:BK12)</f>
        <v>3.2959746043559335E-17</v>
      </c>
    </row>
    <row r="10" spans="1:63" ht="11.25" customHeight="1">
      <c r="A10" s="12">
        <f>S10</f>
        <v>1</v>
      </c>
      <c r="B10" s="2" t="str">
        <f>IF(N8="","",N8)</f>
        <v>N0002</v>
      </c>
      <c r="C10" s="2">
        <f>IF(N9="","",N9)</f>
      </c>
      <c r="D10" s="2" t="str">
        <f>IF(N14="","",N14)</f>
        <v>M0005</v>
      </c>
      <c r="E10" s="2">
        <f>IF(N15="","",N15)</f>
      </c>
      <c r="I10" s="2" t="str">
        <f>"2"&amp;O6&amp;N7</f>
        <v>21Runners Up</v>
      </c>
      <c r="J10" s="29" t="str">
        <f>IF(AC10="","",IF(AC7=2,N8,IF(AC10=2,N11,IF(AC13=2,N14,""))))</f>
        <v>M0005</v>
      </c>
      <c r="K10" s="29">
        <f>IF(AC10="","",IF(AC7=2,N9,IF(AC10=2,N12,IF(AC13=2,N15,""))))</f>
        <v>0</v>
      </c>
      <c r="M10" s="39" t="str">
        <f>N7</f>
        <v>Runners Up</v>
      </c>
      <c r="O10" s="23"/>
      <c r="P10" s="23"/>
      <c r="Q10" s="40">
        <f>IF(AT10&gt;0,"",IF(A10=0,"",IF(VLOOKUP(A10,'[1]plan gier'!A:S,19,FALSE)="","",VLOOKUP(A10,'[1]plan gier'!A:S,19,FALSE))))</f>
      </c>
      <c r="R10" s="41" t="s">
        <v>16</v>
      </c>
      <c r="S10" s="42">
        <v>1</v>
      </c>
      <c r="T10" s="197">
        <v>2</v>
      </c>
      <c r="U10" s="198">
        <f>IF(AND(N11&lt;&gt;"",N12&lt;&gt;""),CONCATENATE(VLOOKUP(N11,'[1]zawodnicy'!$A:$E,1,FALSE)," ",VLOOKUP(N11,'[1]zawodnicy'!$A:$E,2,FALSE)," ",VLOOKUP(N11,'[1]zawodnicy'!$A:$E,3,FALSE)," - ",VLOOKUP(N11,'[1]zawodnicy'!$A:$E,4,FALSE)),"")</f>
      </c>
      <c r="V10" s="199"/>
      <c r="W10" s="43" t="str">
        <f>IF(SUM(AN12:AO12)=0,"",AO12&amp;":"&amp;AN12)</f>
        <v>13:21</v>
      </c>
      <c r="X10" s="44"/>
      <c r="Y10" s="45" t="str">
        <f>IF(SUM(AN11:AO11)=0,"",AN11&amp;":"&amp;AO11)</f>
        <v>4:21</v>
      </c>
      <c r="Z10" s="197" t="str">
        <f>IF(SUM(AV11:AW11,AZ11:BA11)=0,"",BD11&amp;":"&amp;BE11)</f>
        <v>36:84</v>
      </c>
      <c r="AA10" s="200" t="str">
        <f>IF(SUM(AV11:AW11,AZ11:BA11)=0,"",BF11&amp;":"&amp;BG11)</f>
        <v>0:4</v>
      </c>
      <c r="AB10" s="200" t="str">
        <f>IF(SUM(AV11:AW11,AZ11:BA11)=0,"",BH11&amp;":"&amp;BI11)</f>
        <v>0:2</v>
      </c>
      <c r="AC10" s="201">
        <f>IF(SUM(BH10:BH12)&gt;0,BJ11,"")</f>
        <v>3</v>
      </c>
      <c r="AD10" s="2"/>
      <c r="AE10" s="22"/>
      <c r="AF10" s="22"/>
      <c r="AG10" s="41" t="s">
        <v>16</v>
      </c>
      <c r="AH10" s="46">
        <f>IF(ISBLANK(S10),"",VLOOKUP(S10,'[1]plan gier'!$X:$AN,12,FALSE))</f>
        <v>19</v>
      </c>
      <c r="AI10" s="47">
        <f>IF(ISBLANK(S10),"",VLOOKUP(S10,'[1]plan gier'!$X:$AN,13,FALSE))</f>
        <v>21</v>
      </c>
      <c r="AJ10" s="47">
        <f>IF(ISBLANK(S10),"",VLOOKUP(S10,'[1]plan gier'!$X:$AN,14,FALSE))</f>
        <v>21</v>
      </c>
      <c r="AK10" s="47">
        <f>IF(ISBLANK(S10),"",VLOOKUP(S10,'[1]plan gier'!$X:$AN,15,FALSE))</f>
        <v>14</v>
      </c>
      <c r="AL10" s="47">
        <f>IF(ISBLANK(S10),"",VLOOKUP(S10,'[1]plan gier'!$X:$AN,16,FALSE))</f>
        <v>21</v>
      </c>
      <c r="AM10" s="47">
        <f>IF(ISBLANK(S10),"",VLOOKUP(S10,'[1]plan gier'!$X:$AN,17,FALSE))</f>
        <v>18</v>
      </c>
      <c r="AN10" s="48">
        <f aca="true" t="shared" si="0" ref="AN10:AS12">IF(AH10="",0,AH10)</f>
        <v>19</v>
      </c>
      <c r="AO10" s="49">
        <f t="shared" si="0"/>
        <v>21</v>
      </c>
      <c r="AP10" s="50">
        <f t="shared" si="0"/>
        <v>21</v>
      </c>
      <c r="AQ10" s="49">
        <f t="shared" si="0"/>
        <v>14</v>
      </c>
      <c r="AR10" s="50">
        <f t="shared" si="0"/>
        <v>21</v>
      </c>
      <c r="AS10" s="49">
        <f t="shared" si="0"/>
        <v>18</v>
      </c>
      <c r="AT10" s="51">
        <f>SUM(AN10:AS10)</f>
        <v>114</v>
      </c>
      <c r="AU10" s="52">
        <v>1</v>
      </c>
      <c r="AV10" s="53"/>
      <c r="AW10" s="54"/>
      <c r="AX10" s="47">
        <f>IF(AH12&gt;AI12,1,0)+IF(AJ12&gt;AK12,1,0)+IF(AL12&gt;AM12,1,0)</f>
        <v>2</v>
      </c>
      <c r="AY10" s="47">
        <f>AV11</f>
        <v>0</v>
      </c>
      <c r="AZ10" s="47">
        <f>IF(AH10&gt;AI10,1,0)+IF(AJ10&gt;AK10,1,0)+IF(AL10&gt;AM10,1,0)</f>
        <v>2</v>
      </c>
      <c r="BA10" s="55">
        <f>AV12</f>
        <v>1</v>
      </c>
      <c r="BD10" s="46">
        <f>AN10+AP10+AR10+AN12+AP12+AR12</f>
        <v>103</v>
      </c>
      <c r="BE10" s="55">
        <f>AO10+AQ10+AS10+AO12+AQ12+AS12</f>
        <v>79</v>
      </c>
      <c r="BF10" s="46">
        <f>AX10+AZ10</f>
        <v>4</v>
      </c>
      <c r="BG10" s="55">
        <f>AY10+BA10</f>
        <v>1</v>
      </c>
      <c r="BH10" s="46">
        <f>IF(AX10&gt;AY10,1,0)+IF(AZ10&gt;BA10,1,0)</f>
        <v>2</v>
      </c>
      <c r="BI10" s="56">
        <f>IF(AY10&gt;AX10,1,0)+IF(BA10&gt;AZ10,1,0)</f>
        <v>0</v>
      </c>
      <c r="BJ10" s="57">
        <f>IF(BH10+BI10=0,"",IF(BK10=MAX(BK10:BK12),1,IF(BK10=MIN(BK10:BK12),3,2)))</f>
        <v>1</v>
      </c>
      <c r="BK10" s="13">
        <f>IF(BH10+BI10&lt;&gt;0,BH10-BI10+(BF10-BG10)/100+(BD10-BE10)/10000,-2)</f>
        <v>2.0324</v>
      </c>
    </row>
    <row r="11" spans="1:63" ht="11.25" customHeight="1">
      <c r="A11" s="12">
        <f>S11</f>
        <v>6</v>
      </c>
      <c r="B11" s="2" t="str">
        <f>IF(N11="","",N11)</f>
        <v>P0022</v>
      </c>
      <c r="C11" s="2">
        <f>IF(N12="","",N12)</f>
      </c>
      <c r="D11" s="2" t="str">
        <f>IF(N14="","",N14)</f>
        <v>M0005</v>
      </c>
      <c r="E11" s="2">
        <f>IF(N15="","",N15)</f>
      </c>
      <c r="J11" s="29"/>
      <c r="K11" s="12"/>
      <c r="M11" s="39" t="str">
        <f>N7</f>
        <v>Runners Up</v>
      </c>
      <c r="N11" s="30" t="s">
        <v>17</v>
      </c>
      <c r="O11" s="31">
        <f>IF(O6&gt;0,(O6&amp;2)*1,"")</f>
        <v>12</v>
      </c>
      <c r="Q11" s="40">
        <f>IF(AT11&gt;0,"",IF(A11=0,"",IF(VLOOKUP(A11,'[1]plan gier'!A:S,19,FALSE)="","",VLOOKUP(A11,'[1]plan gier'!A:S,19,FALSE))))</f>
      </c>
      <c r="R11" s="41" t="s">
        <v>18</v>
      </c>
      <c r="S11" s="42">
        <v>6</v>
      </c>
      <c r="T11" s="178"/>
      <c r="U11" s="189" t="str">
        <f>IF(AND(N11&lt;&gt;"",N12=""),CONCATENATE(VLOOKUP(N11,'[1]zawodnicy'!$A:$E,1,FALSE)," ",VLOOKUP(N11,'[1]zawodnicy'!$A:$E,2,FALSE)," ",VLOOKUP(N11,'[1]zawodnicy'!$A:$E,3,FALSE)," - ",VLOOKUP(N11,'[1]zawodnicy'!$A:$E,4,FALSE)),"")</f>
        <v>P0022 Mateusz POTOCKI - Krosno</v>
      </c>
      <c r="V11" s="190"/>
      <c r="W11" s="58" t="str">
        <f>IF(SUM(AP12:AQ12)=0,"",AQ12&amp;":"&amp;AP12)</f>
        <v>13:21</v>
      </c>
      <c r="X11" s="59"/>
      <c r="Y11" s="34" t="str">
        <f>IF(SUM(AP11:AQ11)=0,"",AP11&amp;":"&amp;AQ11)</f>
        <v>6:21</v>
      </c>
      <c r="Z11" s="178"/>
      <c r="AA11" s="183"/>
      <c r="AB11" s="183"/>
      <c r="AC11" s="186"/>
      <c r="AD11" s="2"/>
      <c r="AE11" s="22"/>
      <c r="AF11" s="22"/>
      <c r="AG11" s="41" t="s">
        <v>18</v>
      </c>
      <c r="AH11" s="60">
        <f>IF(ISBLANK(S11),"",VLOOKUP(S11,'[1]plan gier'!$X:$AN,12,FALSE))</f>
        <v>4</v>
      </c>
      <c r="AI11" s="61">
        <f>IF(ISBLANK(S11),"",VLOOKUP(S11,'[1]plan gier'!$X:$AN,13,FALSE))</f>
        <v>21</v>
      </c>
      <c r="AJ11" s="61">
        <f>IF(ISBLANK(S11),"",VLOOKUP(S11,'[1]plan gier'!$X:$AN,14,FALSE))</f>
        <v>6</v>
      </c>
      <c r="AK11" s="61">
        <f>IF(ISBLANK(S11),"",VLOOKUP(S11,'[1]plan gier'!$X:$AN,15,FALSE))</f>
        <v>21</v>
      </c>
      <c r="AL11" s="61">
        <f>IF(ISBLANK(S11),"",VLOOKUP(S11,'[1]plan gier'!$X:$AN,16,FALSE))</f>
        <v>0</v>
      </c>
      <c r="AM11" s="61">
        <f>IF(ISBLANK(S11),"",VLOOKUP(S11,'[1]plan gier'!$X:$AN,17,FALSE))</f>
        <v>0</v>
      </c>
      <c r="AN11" s="62">
        <f t="shared" si="0"/>
        <v>4</v>
      </c>
      <c r="AO11" s="61">
        <f t="shared" si="0"/>
        <v>21</v>
      </c>
      <c r="AP11" s="63">
        <f t="shared" si="0"/>
        <v>6</v>
      </c>
      <c r="AQ11" s="61">
        <f t="shared" si="0"/>
        <v>21</v>
      </c>
      <c r="AR11" s="63">
        <f t="shared" si="0"/>
        <v>0</v>
      </c>
      <c r="AS11" s="61">
        <f t="shared" si="0"/>
        <v>0</v>
      </c>
      <c r="AT11" s="51">
        <f>SUM(AN11:AS11)</f>
        <v>52</v>
      </c>
      <c r="AU11" s="52">
        <v>2</v>
      </c>
      <c r="AV11" s="60">
        <f>IF(AH12&lt;AI12,1,0)+IF(AJ12&lt;AK12,1,0)+IF(AL12&lt;AM12,1,0)</f>
        <v>0</v>
      </c>
      <c r="AW11" s="61">
        <f>AX10</f>
        <v>2</v>
      </c>
      <c r="AX11" s="64"/>
      <c r="AY11" s="65"/>
      <c r="AZ11" s="61">
        <f>IF(AH11&gt;AI11,1,0)+IF(AJ11&gt;AK11,1,0)+IF(AL11&gt;AM11,1,0)</f>
        <v>0</v>
      </c>
      <c r="BA11" s="66">
        <f>AX12</f>
        <v>2</v>
      </c>
      <c r="BD11" s="60">
        <f>AN11+AP11+AR11+AO12+AQ12+AS12</f>
        <v>36</v>
      </c>
      <c r="BE11" s="66">
        <f>AO11+AQ11+AS11+AN12+AP12+AR12</f>
        <v>84</v>
      </c>
      <c r="BF11" s="60">
        <f>AV11+AZ11</f>
        <v>0</v>
      </c>
      <c r="BG11" s="66">
        <f>AW11+BA11</f>
        <v>4</v>
      </c>
      <c r="BH11" s="60">
        <f>IF(AV11&gt;AW11,1,0)+IF(AZ11&gt;BA11,1,0)</f>
        <v>0</v>
      </c>
      <c r="BI11" s="67">
        <f>IF(AW11&gt;AV11,1,0)+IF(BA11&gt;AZ11,1,0)</f>
        <v>2</v>
      </c>
      <c r="BJ11" s="68">
        <f>IF(BH11+BI11=0,"",IF(BK11=MAX(BK10:BK12),1,IF(BK11=MIN(BK10:BK12),3,2)))</f>
        <v>3</v>
      </c>
      <c r="BK11" s="13">
        <f>IF(BH11+BI11&lt;&gt;0,BH11-BI11+(BF11-BG11)/100+(BD11-BE11)/10000,-2)</f>
        <v>-2.0448</v>
      </c>
    </row>
    <row r="12" spans="1:63" ht="11.25" customHeight="1" thickBot="1">
      <c r="A12" s="12">
        <f>S12</f>
        <v>11</v>
      </c>
      <c r="B12" s="2" t="str">
        <f>IF(N8="","",N8)</f>
        <v>N0002</v>
      </c>
      <c r="C12" s="2">
        <f>IF(N9="","",N9)</f>
      </c>
      <c r="D12" s="2" t="str">
        <f>IF(N11="","",N11)</f>
        <v>P0022</v>
      </c>
      <c r="E12" s="2">
        <f>IF(N12="","",N12)</f>
      </c>
      <c r="I12" s="2" t="str">
        <f>"3"&amp;O6&amp;N7</f>
        <v>31Runners Up</v>
      </c>
      <c r="J12" s="29" t="str">
        <f>IF(AC13="","",IF(AC7=3,N8,IF(AC10=3,N11,IF(AC13=3,N14,""))))</f>
        <v>P0022</v>
      </c>
      <c r="K12" s="29">
        <f>IF(AC13="","",IF(AC7=3,N9,IF(AC10=3,N12,IF(AC13=3,N15,""))))</f>
        <v>0</v>
      </c>
      <c r="M12" s="39" t="str">
        <f>N7</f>
        <v>Runners Up</v>
      </c>
      <c r="N12" s="35"/>
      <c r="O12" s="23"/>
      <c r="P12" s="23"/>
      <c r="Q12" s="40">
        <f>IF(AT12&gt;0,"",IF(A12=0,"",IF(VLOOKUP(A12,'[1]plan gier'!A:S,19,FALSE)="","",VLOOKUP(A12,'[1]plan gier'!A:S,19,FALSE))))</f>
      </c>
      <c r="R12" s="69" t="s">
        <v>19</v>
      </c>
      <c r="S12" s="42">
        <v>11</v>
      </c>
      <c r="T12" s="179"/>
      <c r="U12" s="191">
        <f>IF(N12&lt;&gt;"",CONCATENATE(VLOOKUP(N12,'[1]zawodnicy'!$A:$E,1,FALSE)," ",VLOOKUP(N12,'[1]zawodnicy'!$A:$E,2,FALSE)," ",VLOOKUP(N12,'[1]zawodnicy'!$A:$E,3,FALSE)," - ",VLOOKUP(N12,'[1]zawodnicy'!$A:$E,4,FALSE)),"")</f>
      </c>
      <c r="V12" s="192"/>
      <c r="W12" s="70">
        <f>IF(SUM(AR12:AS12)=0,"",AS12&amp;":"&amp;AR12)</f>
      </c>
      <c r="X12" s="59"/>
      <c r="Y12" s="37">
        <f>IF(SUM(AR11:AS11)=0,"",AR11&amp;":"&amp;AS11)</f>
      </c>
      <c r="Z12" s="179"/>
      <c r="AA12" s="184"/>
      <c r="AB12" s="184"/>
      <c r="AC12" s="187"/>
      <c r="AD12" s="2"/>
      <c r="AE12" s="22"/>
      <c r="AF12" s="22"/>
      <c r="AG12" s="69" t="s">
        <v>19</v>
      </c>
      <c r="AH12" s="71">
        <f>IF(ISBLANK(S12),"",VLOOKUP(S12,'[1]plan gier'!$X:$AN,12,FALSE))</f>
        <v>21</v>
      </c>
      <c r="AI12" s="72">
        <f>IF(ISBLANK(S12),"",VLOOKUP(S12,'[1]plan gier'!$X:$AN,13,FALSE))</f>
        <v>13</v>
      </c>
      <c r="AJ12" s="72">
        <f>IF(ISBLANK(S12),"",VLOOKUP(S12,'[1]plan gier'!$X:$AN,14,FALSE))</f>
        <v>21</v>
      </c>
      <c r="AK12" s="72">
        <f>IF(ISBLANK(S12),"",VLOOKUP(S12,'[1]plan gier'!$X:$AN,15,FALSE))</f>
        <v>13</v>
      </c>
      <c r="AL12" s="72">
        <f>IF(ISBLANK(S12),"",VLOOKUP(S12,'[1]plan gier'!$X:$AN,16,FALSE))</f>
        <v>0</v>
      </c>
      <c r="AM12" s="72">
        <f>IF(ISBLANK(S12),"",VLOOKUP(S12,'[1]plan gier'!$X:$AN,17,FALSE))</f>
        <v>0</v>
      </c>
      <c r="AN12" s="73">
        <f t="shared" si="0"/>
        <v>21</v>
      </c>
      <c r="AO12" s="72">
        <f t="shared" si="0"/>
        <v>13</v>
      </c>
      <c r="AP12" s="74">
        <f t="shared" si="0"/>
        <v>21</v>
      </c>
      <c r="AQ12" s="72">
        <f t="shared" si="0"/>
        <v>13</v>
      </c>
      <c r="AR12" s="74">
        <f t="shared" si="0"/>
        <v>0</v>
      </c>
      <c r="AS12" s="72">
        <f t="shared" si="0"/>
        <v>0</v>
      </c>
      <c r="AT12" s="51">
        <f>SUM(AN12:AS12)</f>
        <v>68</v>
      </c>
      <c r="AU12" s="52">
        <v>3</v>
      </c>
      <c r="AV12" s="71">
        <f>IF(AH10&lt;AI10,1,0)+IF(AJ10&lt;AK10,1,0)+IF(AL10&lt;AM10,1,0)</f>
        <v>1</v>
      </c>
      <c r="AW12" s="72">
        <f>AZ10</f>
        <v>2</v>
      </c>
      <c r="AX12" s="72">
        <f>IF(AH11&lt;AI11,1,0)+IF(AJ11&lt;AK11,1,0)+IF(AL11&lt;AM11,1,0)</f>
        <v>2</v>
      </c>
      <c r="AY12" s="72">
        <f>AZ11</f>
        <v>0</v>
      </c>
      <c r="AZ12" s="75"/>
      <c r="BA12" s="76"/>
      <c r="BD12" s="71">
        <f>AO10+AQ10+AS10+AO11+AQ11+AS11</f>
        <v>95</v>
      </c>
      <c r="BE12" s="77">
        <f>AN10+AP10+AR10+AN11+AP11+AR11</f>
        <v>71</v>
      </c>
      <c r="BF12" s="71">
        <f>AV12+AX12</f>
        <v>3</v>
      </c>
      <c r="BG12" s="77">
        <f>AW12+AY12</f>
        <v>2</v>
      </c>
      <c r="BH12" s="71">
        <f>IF(AV12&gt;AW12,1,0)+IF(AX12&gt;AY12,1,0)</f>
        <v>1</v>
      </c>
      <c r="BI12" s="78">
        <f>IF(AW12&gt;AV12,1,0)+IF(AY12&gt;AX12,1,0)</f>
        <v>1</v>
      </c>
      <c r="BJ12" s="79">
        <f>IF(BH12+BI12=0,"",IF(BK12=MAX(BK10:BK12),1,IF(BK12=MIN(BK10:BK12),3,2)))</f>
        <v>2</v>
      </c>
      <c r="BK12" s="13">
        <f>IF(BH12+BI12&lt;&gt;0,BH12-BI12+(BF12-BG12)/100+(BD12-BE12)/10000,-2)</f>
        <v>0.0124</v>
      </c>
    </row>
    <row r="13" spans="1:59" ht="11.25" customHeight="1">
      <c r="A13" s="2"/>
      <c r="J13" s="23"/>
      <c r="K13" s="23"/>
      <c r="L13" s="23"/>
      <c r="O13" s="23"/>
      <c r="P13" s="23"/>
      <c r="Q13" s="2"/>
      <c r="R13" s="2"/>
      <c r="S13" s="2"/>
      <c r="T13" s="197">
        <v>3</v>
      </c>
      <c r="U13" s="198">
        <f>IF(AND(N14&lt;&gt;"",N15&lt;&gt;""),CONCATENATE(VLOOKUP(N14,'[1]zawodnicy'!$A:$E,1,FALSE)," ",VLOOKUP(N14,'[1]zawodnicy'!$A:$E,2,FALSE)," ",VLOOKUP(N14,'[1]zawodnicy'!$A:$E,3,FALSE)," - ",VLOOKUP(N14,'[1]zawodnicy'!$A:$E,4,FALSE)),"")</f>
      </c>
      <c r="V13" s="199"/>
      <c r="W13" s="43" t="str">
        <f>IF(SUM(AN10:AO10)=0,"",AO10&amp;":"&amp;AN10)</f>
        <v>21:19</v>
      </c>
      <c r="X13" s="80" t="str">
        <f>IF(SUM(AN11:AO11)=0,"",AO11&amp;":"&amp;AN11)</f>
        <v>21:4</v>
      </c>
      <c r="Y13" s="81"/>
      <c r="Z13" s="197" t="str">
        <f>IF(SUM(AV12:AY12)=0,"",BD12&amp;":"&amp;BE12)</f>
        <v>95:71</v>
      </c>
      <c r="AA13" s="200" t="str">
        <f>IF(SUM(AV12:AY12)=0,"",BF12&amp;":"&amp;BG12)</f>
        <v>3:2</v>
      </c>
      <c r="AB13" s="200" t="str">
        <f>IF(SUM(AV12:AY12)=0,"",BH12&amp;":"&amp;BI12)</f>
        <v>1:1</v>
      </c>
      <c r="AC13" s="201">
        <f>IF(SUM(BH10:BH12)&gt;0,BJ12,"")</f>
        <v>2</v>
      </c>
      <c r="AD13" s="2"/>
      <c r="AE13" s="22"/>
      <c r="AF13" s="22"/>
      <c r="BD13" s="12">
        <f>SUM(BD10:BD12)</f>
        <v>234</v>
      </c>
      <c r="BE13" s="12">
        <f>SUM(BE10:BE12)</f>
        <v>234</v>
      </c>
      <c r="BF13" s="12">
        <f>SUM(BF10:BF12)</f>
        <v>7</v>
      </c>
      <c r="BG13" s="12">
        <f>SUM(BG10:BG12)</f>
        <v>7</v>
      </c>
    </row>
    <row r="14" spans="1:63" ht="11.25" customHeight="1">
      <c r="A14" s="12"/>
      <c r="J14" s="12"/>
      <c r="K14" s="12"/>
      <c r="L14" s="12"/>
      <c r="N14" s="30" t="s">
        <v>20</v>
      </c>
      <c r="O14" s="31">
        <f>IF(O6&gt;0,(O6&amp;3)*1,"")</f>
        <v>13</v>
      </c>
      <c r="Q14" s="82"/>
      <c r="R14" s="82"/>
      <c r="S14" s="42"/>
      <c r="T14" s="178"/>
      <c r="U14" s="189" t="str">
        <f>IF(AND(N14&lt;&gt;"",N15=""),CONCATENATE(VLOOKUP(N14,'[1]zawodnicy'!$A:$E,1,FALSE)," ",VLOOKUP(N14,'[1]zawodnicy'!$A:$E,2,FALSE)," ",VLOOKUP(N14,'[1]zawodnicy'!$A:$E,3,FALSE)," - ",VLOOKUP(N14,'[1]zawodnicy'!$A:$E,4,FALSE)),"")</f>
        <v>M0005 Piotr MALIK - Tarnobrzeg</v>
      </c>
      <c r="V14" s="190"/>
      <c r="W14" s="58" t="str">
        <f>IF(SUM(AP10:AQ10)=0,"",AQ10&amp;":"&amp;AP10)</f>
        <v>14:21</v>
      </c>
      <c r="X14" s="33" t="str">
        <f>IF(SUM(AP11:AQ11)=0,"",AQ11&amp;":"&amp;AP11)</f>
        <v>21:6</v>
      </c>
      <c r="Y14" s="83"/>
      <c r="Z14" s="178"/>
      <c r="AA14" s="183"/>
      <c r="AB14" s="183"/>
      <c r="AC14" s="186"/>
      <c r="AD14" s="2"/>
      <c r="AE14" s="22"/>
      <c r="AF14" s="2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1.25" customHeight="1" thickBot="1">
      <c r="A15" s="2"/>
      <c r="J15" s="23"/>
      <c r="K15" s="23"/>
      <c r="L15" s="23"/>
      <c r="N15" s="35"/>
      <c r="O15" s="23"/>
      <c r="P15" s="23"/>
      <c r="Q15" s="2"/>
      <c r="R15" s="2"/>
      <c r="S15" s="2"/>
      <c r="T15" s="202"/>
      <c r="U15" s="205">
        <f>IF(N15&lt;&gt;"",CONCATENATE(VLOOKUP(N15,'[1]zawodnicy'!$A:$E,1,FALSE)," ",VLOOKUP(N15,'[1]zawodnicy'!$A:$E,2,FALSE)," ",VLOOKUP(N15,'[1]zawodnicy'!$A:$E,3,FALSE)," - ",VLOOKUP(N15,'[1]zawodnicy'!$A:$E,4,FALSE)),"")</f>
      </c>
      <c r="V15" s="206"/>
      <c r="W15" s="84" t="str">
        <f>IF(SUM(AR10:AS10)=0,"",AS10&amp;":"&amp;AR10)</f>
        <v>18:21</v>
      </c>
      <c r="X15" s="85">
        <f>IF(SUM(AR11:AS11)=0,"",AS11&amp;":"&amp;AR11)</f>
      </c>
      <c r="Y15" s="86"/>
      <c r="Z15" s="202"/>
      <c r="AA15" s="203"/>
      <c r="AB15" s="203"/>
      <c r="AC15" s="204"/>
      <c r="AD15" s="29"/>
      <c r="AE15" s="22"/>
      <c r="AF15" s="2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ht="11.25" customHeight="1" thickBot="1"/>
    <row r="17" spans="14:32" ht="11.25" customHeight="1" thickBot="1">
      <c r="N17" s="8"/>
      <c r="O17" s="14">
        <v>2</v>
      </c>
      <c r="Q17" s="171" t="str">
        <f>"Grupa "&amp;O17&amp;"."</f>
        <v>Grupa 2.</v>
      </c>
      <c r="R17" s="171"/>
      <c r="S17" s="172"/>
      <c r="T17" s="15" t="s">
        <v>2</v>
      </c>
      <c r="U17" s="173" t="s">
        <v>3</v>
      </c>
      <c r="V17" s="174"/>
      <c r="W17" s="15">
        <v>1</v>
      </c>
      <c r="X17" s="17">
        <v>2</v>
      </c>
      <c r="Y17" s="18">
        <v>3</v>
      </c>
      <c r="Z17" s="19" t="s">
        <v>4</v>
      </c>
      <c r="AA17" s="20" t="s">
        <v>5</v>
      </c>
      <c r="AB17" s="20" t="s">
        <v>6</v>
      </c>
      <c r="AC17" s="21" t="s">
        <v>7</v>
      </c>
      <c r="AD17" s="2"/>
      <c r="AE17" s="22"/>
      <c r="AF17" s="22"/>
    </row>
    <row r="18" spans="10:45" ht="11.25" customHeight="1">
      <c r="J18" s="23"/>
      <c r="K18" s="23"/>
      <c r="L18" s="23"/>
      <c r="N18" s="24" t="s">
        <v>1</v>
      </c>
      <c r="Q18" s="175" t="s">
        <v>8</v>
      </c>
      <c r="R18" s="175"/>
      <c r="S18" s="176" t="s">
        <v>9</v>
      </c>
      <c r="T18" s="177">
        <v>1</v>
      </c>
      <c r="U18" s="180">
        <f>IF(AND(N19&lt;&gt;"",N20&lt;&gt;""),CONCATENATE(VLOOKUP(N19,'[1]zawodnicy'!$A:$E,1,FALSE)," ",VLOOKUP(N19,'[1]zawodnicy'!$A:$E,2,FALSE)," ",VLOOKUP(N19,'[1]zawodnicy'!$A:$E,3,FALSE)," - ",VLOOKUP(N19,'[1]zawodnicy'!$A:$E,4,FALSE)),"")</f>
      </c>
      <c r="V18" s="181"/>
      <c r="W18" s="25"/>
      <c r="X18" s="26" t="str">
        <f>IF(SUM(AN23:AO23)=0,"",AN23&amp;":"&amp;AO23)</f>
        <v>21:13</v>
      </c>
      <c r="Y18" s="27" t="str">
        <f>IF(SUM(AN21:AO21)=0,"",AN21&amp;":"&amp;AO21)</f>
        <v>21:16</v>
      </c>
      <c r="Z18" s="177" t="str">
        <f>IF(SUM(AX21:BA21)=0,"",BD21&amp;":"&amp;BE21)</f>
        <v>84:54</v>
      </c>
      <c r="AA18" s="182" t="str">
        <f>IF(SUM(AX21:BA21)=0,"",BF21&amp;":"&amp;BG21)</f>
        <v>4:0</v>
      </c>
      <c r="AB18" s="182" t="str">
        <f>IF(SUM(AX21:BA21)=0,"",BH21&amp;":"&amp;BI21)</f>
        <v>2:0</v>
      </c>
      <c r="AC18" s="185">
        <f>IF(SUM(BH21:BH23)&gt;0,BJ21,"")</f>
        <v>1</v>
      </c>
      <c r="AD18" s="2"/>
      <c r="AE18" s="22"/>
      <c r="AF18" s="22"/>
      <c r="AG18" s="28"/>
      <c r="AH18" s="188" t="s">
        <v>10</v>
      </c>
      <c r="AI18" s="188"/>
      <c r="AJ18" s="188"/>
      <c r="AK18" s="188"/>
      <c r="AL18" s="188"/>
      <c r="AM18" s="188"/>
      <c r="AN18" s="188" t="s">
        <v>11</v>
      </c>
      <c r="AO18" s="188"/>
      <c r="AP18" s="188"/>
      <c r="AQ18" s="188"/>
      <c r="AR18" s="188"/>
      <c r="AS18" s="188"/>
    </row>
    <row r="19" spans="9:59" ht="11.25" customHeight="1" thickBot="1">
      <c r="I19" s="2" t="str">
        <f>"1"&amp;O17&amp;N18</f>
        <v>12Runners Up</v>
      </c>
      <c r="J19" s="29" t="str">
        <f>IF(AC18="","",IF(AC18=1,N19,IF(AC21=1,N22,IF(AC24=1,N25,""))))</f>
        <v>S0029</v>
      </c>
      <c r="K19" s="29">
        <f>IF(AC18="","",IF(AC18=1,N20,IF(AC21=1,N23,IF(AC24=1,N26,""))))</f>
        <v>0</v>
      </c>
      <c r="L19" s="29"/>
      <c r="N19" s="30" t="s">
        <v>21</v>
      </c>
      <c r="O19" s="31">
        <f>IF(O17&gt;0,(O17&amp;1)*1,"")</f>
        <v>21</v>
      </c>
      <c r="Q19" s="175"/>
      <c r="R19" s="175"/>
      <c r="S19" s="176"/>
      <c r="T19" s="178"/>
      <c r="U19" s="189" t="str">
        <f>IF(AND(N19&lt;&gt;"",N20=""),CONCATENATE(VLOOKUP(N19,'[1]zawodnicy'!$A:$E,1,FALSE)," ",VLOOKUP(N19,'[1]zawodnicy'!$A:$E,2,FALSE)," ",VLOOKUP(N19,'[1]zawodnicy'!$A:$E,3,FALSE)," - ",VLOOKUP(N19,'[1]zawodnicy'!$A:$E,4,FALSE)),"")</f>
        <v>S0029 Patryk STOLARZ - Mielec</v>
      </c>
      <c r="V19" s="190"/>
      <c r="W19" s="32"/>
      <c r="X19" s="33" t="str">
        <f>IF(SUM(AP23:AQ23)=0,"",AP23&amp;":"&amp;AQ23)</f>
        <v>21:9</v>
      </c>
      <c r="Y19" s="34" t="str">
        <f>IF(SUM(AP21:AQ21)=0,"",AP21&amp;":"&amp;AQ21)</f>
        <v>21:16</v>
      </c>
      <c r="Z19" s="178"/>
      <c r="AA19" s="183"/>
      <c r="AB19" s="183"/>
      <c r="AC19" s="186"/>
      <c r="AD19" s="2"/>
      <c r="AE19" s="22"/>
      <c r="AF19" s="22"/>
      <c r="AG19" s="28"/>
      <c r="BD19" s="12">
        <f>SUM(BD21:BD23)</f>
        <v>188</v>
      </c>
      <c r="BE19" s="12">
        <f>SUM(BE21:BE23)</f>
        <v>188</v>
      </c>
      <c r="BF19" s="12">
        <f>SUM(BF21:BF23)</f>
        <v>6</v>
      </c>
      <c r="BG19" s="12">
        <f>SUM(BG21:BG23)</f>
        <v>6</v>
      </c>
    </row>
    <row r="20" spans="10:63" ht="11.25" customHeight="1" thickBot="1">
      <c r="J20" s="29"/>
      <c r="K20" s="23"/>
      <c r="L20" s="23"/>
      <c r="N20" s="35"/>
      <c r="O20" s="23"/>
      <c r="P20" s="23"/>
      <c r="Q20" s="175"/>
      <c r="R20" s="175"/>
      <c r="S20" s="176"/>
      <c r="T20" s="179"/>
      <c r="U20" s="191">
        <f>IF(N20&lt;&gt;"",CONCATENATE(VLOOKUP(N20,'[1]zawodnicy'!$A:$E,1,FALSE)," ",VLOOKUP(N20,'[1]zawodnicy'!$A:$E,2,FALSE)," ",VLOOKUP(N20,'[1]zawodnicy'!$A:$E,3,FALSE)," - ",VLOOKUP(N20,'[1]zawodnicy'!$A:$E,4,FALSE)),"")</f>
      </c>
      <c r="V20" s="192"/>
      <c r="W20" s="32"/>
      <c r="X20" s="36">
        <f>IF(SUM(AR23:AS23)=0,"",AR23&amp;":"&amp;AS23)</f>
      </c>
      <c r="Y20" s="37">
        <f>IF(SUM(AR21:AS21)=0,"",AR21&amp;":"&amp;AS21)</f>
      </c>
      <c r="Z20" s="179"/>
      <c r="AA20" s="184"/>
      <c r="AB20" s="184"/>
      <c r="AC20" s="187"/>
      <c r="AD20" s="2"/>
      <c r="AE20" s="22"/>
      <c r="AF20" s="22"/>
      <c r="AG20" s="28"/>
      <c r="AH20" s="193" t="s">
        <v>13</v>
      </c>
      <c r="AI20" s="194"/>
      <c r="AJ20" s="195" t="s">
        <v>14</v>
      </c>
      <c r="AK20" s="194"/>
      <c r="AL20" s="195" t="s">
        <v>15</v>
      </c>
      <c r="AM20" s="196"/>
      <c r="AN20" s="193" t="s">
        <v>13</v>
      </c>
      <c r="AO20" s="194"/>
      <c r="AP20" s="195" t="s">
        <v>14</v>
      </c>
      <c r="AQ20" s="194"/>
      <c r="AR20" s="195" t="s">
        <v>15</v>
      </c>
      <c r="AS20" s="194"/>
      <c r="AT20" s="22"/>
      <c r="AU20" s="22"/>
      <c r="AV20" s="193">
        <v>1</v>
      </c>
      <c r="AW20" s="194"/>
      <c r="AX20" s="195">
        <v>2</v>
      </c>
      <c r="AY20" s="194"/>
      <c r="AZ20" s="195">
        <v>3</v>
      </c>
      <c r="BA20" s="196"/>
      <c r="BD20" s="193" t="s">
        <v>4</v>
      </c>
      <c r="BE20" s="196"/>
      <c r="BF20" s="193" t="s">
        <v>5</v>
      </c>
      <c r="BG20" s="196"/>
      <c r="BH20" s="193" t="s">
        <v>6</v>
      </c>
      <c r="BI20" s="196"/>
      <c r="BJ20" s="38" t="s">
        <v>7</v>
      </c>
      <c r="BK20" s="13">
        <f>SUM(BK21:BK23)</f>
        <v>2.641116492174689E-16</v>
      </c>
    </row>
    <row r="21" spans="1:63" ht="11.25" customHeight="1">
      <c r="A21" s="12">
        <f>S21</f>
        <v>2</v>
      </c>
      <c r="B21" s="2" t="str">
        <f>IF(N19="","",N19)</f>
        <v>S0029</v>
      </c>
      <c r="C21" s="2">
        <f>IF(N20="","",N20)</f>
      </c>
      <c r="D21" s="2" t="str">
        <f>IF(N25="","",N25)</f>
        <v>B0016</v>
      </c>
      <c r="E21" s="2">
        <f>IF(N26="","",N26)</f>
      </c>
      <c r="I21" s="2" t="str">
        <f>"2"&amp;O17&amp;N18</f>
        <v>22Runners Up</v>
      </c>
      <c r="J21" s="29" t="str">
        <f>IF(AC21="","",IF(AC18=2,N19,IF(AC21=2,N22,IF(AC24=2,N25,""))))</f>
        <v>B0016</v>
      </c>
      <c r="K21" s="29">
        <f>IF(AC21="","",IF(AC18=2,N20,IF(AC21=2,N23,IF(AC24=2,N26,""))))</f>
        <v>0</v>
      </c>
      <c r="M21" s="39" t="str">
        <f>N18</f>
        <v>Runners Up</v>
      </c>
      <c r="O21" s="23"/>
      <c r="P21" s="23"/>
      <c r="Q21" s="40">
        <f>IF(AT21&gt;0,"",IF(A21=0,"",IF(VLOOKUP(A21,'[1]plan gier'!A:S,19,FALSE)="","",VLOOKUP(A21,'[1]plan gier'!A:S,19,FALSE))))</f>
      </c>
      <c r="R21" s="41" t="s">
        <v>16</v>
      </c>
      <c r="S21" s="42">
        <v>2</v>
      </c>
      <c r="T21" s="197">
        <v>2</v>
      </c>
      <c r="U21" s="198">
        <f>IF(AND(N22&lt;&gt;"",N23&lt;&gt;""),CONCATENATE(VLOOKUP(N22,'[1]zawodnicy'!$A:$E,1,FALSE)," ",VLOOKUP(N22,'[1]zawodnicy'!$A:$E,2,FALSE)," ",VLOOKUP(N22,'[1]zawodnicy'!$A:$E,3,FALSE)," - ",VLOOKUP(N22,'[1]zawodnicy'!$A:$E,4,FALSE)),"")</f>
      </c>
      <c r="V21" s="199"/>
      <c r="W21" s="43" t="str">
        <f>IF(SUM(AN23:AO23)=0,"",AO23&amp;":"&amp;AN23)</f>
        <v>13:21</v>
      </c>
      <c r="X21" s="44"/>
      <c r="Y21" s="45" t="str">
        <f>IF(SUM(AN22:AO22)=0,"",AN22&amp;":"&amp;AO22)</f>
        <v>5:21</v>
      </c>
      <c r="Z21" s="197" t="str">
        <f>IF(SUM(AV22:AW22,AZ22:BA22)=0,"",BD22&amp;":"&amp;BE22)</f>
        <v>30:84</v>
      </c>
      <c r="AA21" s="200" t="str">
        <f>IF(SUM(AV22:AW22,AZ22:BA22)=0,"",BF22&amp;":"&amp;BG22)</f>
        <v>0:4</v>
      </c>
      <c r="AB21" s="200" t="str">
        <f>IF(SUM(AV22:AW22,AZ22:BA22)=0,"",BH22&amp;":"&amp;BI22)</f>
        <v>0:2</v>
      </c>
      <c r="AC21" s="201">
        <f>IF(SUM(BH21:BH23)&gt;0,BJ22,"")</f>
        <v>3</v>
      </c>
      <c r="AD21" s="2"/>
      <c r="AE21" s="22"/>
      <c r="AF21" s="22"/>
      <c r="AG21" s="41" t="s">
        <v>16</v>
      </c>
      <c r="AH21" s="46">
        <f>IF(ISBLANK(S21),"",VLOOKUP(S21,'[1]plan gier'!$X:$AN,12,FALSE))</f>
        <v>21</v>
      </c>
      <c r="AI21" s="47">
        <f>IF(ISBLANK(S21),"",VLOOKUP(S21,'[1]plan gier'!$X:$AN,13,FALSE))</f>
        <v>16</v>
      </c>
      <c r="AJ21" s="47">
        <f>IF(ISBLANK(S21),"",VLOOKUP(S21,'[1]plan gier'!$X:$AN,14,FALSE))</f>
        <v>21</v>
      </c>
      <c r="AK21" s="47">
        <f>IF(ISBLANK(S21),"",VLOOKUP(S21,'[1]plan gier'!$X:$AN,15,FALSE))</f>
        <v>16</v>
      </c>
      <c r="AL21" s="47">
        <f>IF(ISBLANK(S21),"",VLOOKUP(S21,'[1]plan gier'!$X:$AN,16,FALSE))</f>
        <v>0</v>
      </c>
      <c r="AM21" s="47">
        <f>IF(ISBLANK(S21),"",VLOOKUP(S21,'[1]plan gier'!$X:$AN,17,FALSE))</f>
        <v>0</v>
      </c>
      <c r="AN21" s="48">
        <f aca="true" t="shared" si="1" ref="AN21:AS23">IF(AH21="",0,AH21)</f>
        <v>21</v>
      </c>
      <c r="AO21" s="49">
        <f t="shared" si="1"/>
        <v>16</v>
      </c>
      <c r="AP21" s="50">
        <f t="shared" si="1"/>
        <v>21</v>
      </c>
      <c r="AQ21" s="49">
        <f t="shared" si="1"/>
        <v>16</v>
      </c>
      <c r="AR21" s="50">
        <f t="shared" si="1"/>
        <v>0</v>
      </c>
      <c r="AS21" s="49">
        <f t="shared" si="1"/>
        <v>0</v>
      </c>
      <c r="AT21" s="51">
        <f>SUM(AN21:AS21)</f>
        <v>74</v>
      </c>
      <c r="AU21" s="52">
        <v>1</v>
      </c>
      <c r="AV21" s="53"/>
      <c r="AW21" s="54"/>
      <c r="AX21" s="47">
        <f>IF(AH23&gt;AI23,1,0)+IF(AJ23&gt;AK23,1,0)+IF(AL23&gt;AM23,1,0)</f>
        <v>2</v>
      </c>
      <c r="AY21" s="47">
        <f>AV22</f>
        <v>0</v>
      </c>
      <c r="AZ21" s="47">
        <f>IF(AH21&gt;AI21,1,0)+IF(AJ21&gt;AK21,1,0)+IF(AL21&gt;AM21,1,0)</f>
        <v>2</v>
      </c>
      <c r="BA21" s="55">
        <f>AV23</f>
        <v>0</v>
      </c>
      <c r="BD21" s="46">
        <f>AN21+AP21+AR21+AN23+AP23+AR23</f>
        <v>84</v>
      </c>
      <c r="BE21" s="55">
        <f>AO21+AQ21+AS21+AO23+AQ23+AS23</f>
        <v>54</v>
      </c>
      <c r="BF21" s="46">
        <f>AX21+AZ21</f>
        <v>4</v>
      </c>
      <c r="BG21" s="55">
        <f>AY21+BA21</f>
        <v>0</v>
      </c>
      <c r="BH21" s="46">
        <f>IF(AX21&gt;AY21,1,0)+IF(AZ21&gt;BA21,1,0)</f>
        <v>2</v>
      </c>
      <c r="BI21" s="56">
        <f>IF(AY21&gt;AX21,1,0)+IF(BA21&gt;AZ21,1,0)</f>
        <v>0</v>
      </c>
      <c r="BJ21" s="57">
        <f>IF(BH21+BI21=0,"",IF(BK21=MAX(BK21:BK23),1,IF(BK21=MIN(BK21:BK23),3,2)))</f>
        <v>1</v>
      </c>
      <c r="BK21" s="13">
        <f>IF(BH21+BI21&lt;&gt;0,BH21-BI21+(BF21-BG21)/100+(BD21-BE21)/10000,-2)</f>
        <v>2.043</v>
      </c>
    </row>
    <row r="22" spans="1:63" ht="11.25" customHeight="1">
      <c r="A22" s="12">
        <f>S22</f>
        <v>7</v>
      </c>
      <c r="B22" s="2" t="str">
        <f>IF(N22="","",N22)</f>
        <v>P0021</v>
      </c>
      <c r="C22" s="2">
        <f>IF(N23="","",N23)</f>
      </c>
      <c r="D22" s="2" t="str">
        <f>IF(N25="","",N25)</f>
        <v>B0016</v>
      </c>
      <c r="E22" s="2">
        <f>IF(N26="","",N26)</f>
      </c>
      <c r="J22" s="29"/>
      <c r="K22" s="12"/>
      <c r="M22" s="39" t="str">
        <f>N18</f>
        <v>Runners Up</v>
      </c>
      <c r="N22" s="30" t="s">
        <v>22</v>
      </c>
      <c r="O22" s="31">
        <f>IF(O17&gt;0,(O17&amp;2)*1,"")</f>
        <v>22</v>
      </c>
      <c r="Q22" s="40">
        <f>IF(AT22&gt;0,"",IF(A22=0,"",IF(VLOOKUP(A22,'[1]plan gier'!A:S,19,FALSE)="","",VLOOKUP(A22,'[1]plan gier'!A:S,19,FALSE))))</f>
      </c>
      <c r="R22" s="41" t="s">
        <v>18</v>
      </c>
      <c r="S22" s="42">
        <v>7</v>
      </c>
      <c r="T22" s="178"/>
      <c r="U22" s="189" t="str">
        <f>IF(AND(N22&lt;&gt;"",N23=""),CONCATENATE(VLOOKUP(N22,'[1]zawodnicy'!$A:$E,1,FALSE)," ",VLOOKUP(N22,'[1]zawodnicy'!$A:$E,2,FALSE)," ",VLOOKUP(N22,'[1]zawodnicy'!$A:$E,3,FALSE)," - ",VLOOKUP(N22,'[1]zawodnicy'!$A:$E,4,FALSE)),"")</f>
        <v>P0021 Mikołaj POLAŃSKI - Rzeszów</v>
      </c>
      <c r="V22" s="190"/>
      <c r="W22" s="58" t="str">
        <f>IF(SUM(AP23:AQ23)=0,"",AQ23&amp;":"&amp;AP23)</f>
        <v>9:21</v>
      </c>
      <c r="X22" s="59"/>
      <c r="Y22" s="34" t="str">
        <f>IF(SUM(AP22:AQ22)=0,"",AP22&amp;":"&amp;AQ22)</f>
        <v>3:21</v>
      </c>
      <c r="Z22" s="178"/>
      <c r="AA22" s="183"/>
      <c r="AB22" s="183"/>
      <c r="AC22" s="186"/>
      <c r="AD22" s="2"/>
      <c r="AE22" s="22"/>
      <c r="AF22" s="22"/>
      <c r="AG22" s="41" t="s">
        <v>18</v>
      </c>
      <c r="AH22" s="60">
        <f>IF(ISBLANK(S22),"",VLOOKUP(S22,'[1]plan gier'!$X:$AN,12,FALSE))</f>
        <v>5</v>
      </c>
      <c r="AI22" s="61">
        <f>IF(ISBLANK(S22),"",VLOOKUP(S22,'[1]plan gier'!$X:$AN,13,FALSE))</f>
        <v>21</v>
      </c>
      <c r="AJ22" s="61">
        <f>IF(ISBLANK(S22),"",VLOOKUP(S22,'[1]plan gier'!$X:$AN,14,FALSE))</f>
        <v>3</v>
      </c>
      <c r="AK22" s="61">
        <f>IF(ISBLANK(S22),"",VLOOKUP(S22,'[1]plan gier'!$X:$AN,15,FALSE))</f>
        <v>21</v>
      </c>
      <c r="AL22" s="61">
        <f>IF(ISBLANK(S22),"",VLOOKUP(S22,'[1]plan gier'!$X:$AN,16,FALSE))</f>
        <v>0</v>
      </c>
      <c r="AM22" s="61">
        <f>IF(ISBLANK(S22),"",VLOOKUP(S22,'[1]plan gier'!$X:$AN,17,FALSE))</f>
        <v>0</v>
      </c>
      <c r="AN22" s="62">
        <f t="shared" si="1"/>
        <v>5</v>
      </c>
      <c r="AO22" s="61">
        <f t="shared" si="1"/>
        <v>21</v>
      </c>
      <c r="AP22" s="63">
        <f t="shared" si="1"/>
        <v>3</v>
      </c>
      <c r="AQ22" s="61">
        <f t="shared" si="1"/>
        <v>21</v>
      </c>
      <c r="AR22" s="63">
        <f t="shared" si="1"/>
        <v>0</v>
      </c>
      <c r="AS22" s="61">
        <f t="shared" si="1"/>
        <v>0</v>
      </c>
      <c r="AT22" s="51">
        <f>SUM(AN22:AS22)</f>
        <v>50</v>
      </c>
      <c r="AU22" s="52">
        <v>2</v>
      </c>
      <c r="AV22" s="60">
        <f>IF(AH23&lt;AI23,1,0)+IF(AJ23&lt;AK23,1,0)+IF(AL23&lt;AM23,1,0)</f>
        <v>0</v>
      </c>
      <c r="AW22" s="61">
        <f>AX21</f>
        <v>2</v>
      </c>
      <c r="AX22" s="64"/>
      <c r="AY22" s="65"/>
      <c r="AZ22" s="61">
        <f>IF(AH22&gt;AI22,1,0)+IF(AJ22&gt;AK22,1,0)+IF(AL22&gt;AM22,1,0)</f>
        <v>0</v>
      </c>
      <c r="BA22" s="66">
        <f>AX23</f>
        <v>2</v>
      </c>
      <c r="BD22" s="60">
        <f>AN22+AP22+AR22+AO23+AQ23+AS23</f>
        <v>30</v>
      </c>
      <c r="BE22" s="66">
        <f>AO22+AQ22+AS22+AN23+AP23+AR23</f>
        <v>84</v>
      </c>
      <c r="BF22" s="60">
        <f>AV22+AZ22</f>
        <v>0</v>
      </c>
      <c r="BG22" s="66">
        <f>AW22+BA22</f>
        <v>4</v>
      </c>
      <c r="BH22" s="60">
        <f>IF(AV22&gt;AW22,1,0)+IF(AZ22&gt;BA22,1,0)</f>
        <v>0</v>
      </c>
      <c r="BI22" s="67">
        <f>IF(AW22&gt;AV22,1,0)+IF(BA22&gt;AZ22,1,0)</f>
        <v>2</v>
      </c>
      <c r="BJ22" s="68">
        <f>IF(BH22+BI22=0,"",IF(BK22=MAX(BK21:BK23),1,IF(BK22=MIN(BK21:BK23),3,2)))</f>
        <v>3</v>
      </c>
      <c r="BK22" s="13">
        <f>IF(BH22+BI22&lt;&gt;0,BH22-BI22+(BF22-BG22)/100+(BD22-BE22)/10000,-2)</f>
        <v>-2.0454</v>
      </c>
    </row>
    <row r="23" spans="1:63" ht="11.25" customHeight="1" thickBot="1">
      <c r="A23" s="12">
        <f>S23</f>
        <v>12</v>
      </c>
      <c r="B23" s="2" t="str">
        <f>IF(N19="","",N19)</f>
        <v>S0029</v>
      </c>
      <c r="C23" s="2">
        <f>IF(N20="","",N20)</f>
      </c>
      <c r="D23" s="2" t="str">
        <f>IF(N22="","",N22)</f>
        <v>P0021</v>
      </c>
      <c r="E23" s="2">
        <f>IF(N23="","",N23)</f>
      </c>
      <c r="I23" s="2" t="str">
        <f>"3"&amp;O17&amp;N18</f>
        <v>32Runners Up</v>
      </c>
      <c r="J23" s="29" t="str">
        <f>IF(AC24="","",IF(AC18=3,N19,IF(AC21=3,N22,IF(AC24=3,N25,""))))</f>
        <v>P0021</v>
      </c>
      <c r="K23" s="29">
        <f>IF(AC24="","",IF(AC18=3,N20,IF(AC21=3,N23,IF(AC24=3,N26,""))))</f>
        <v>0</v>
      </c>
      <c r="M23" s="39" t="str">
        <f>N18</f>
        <v>Runners Up</v>
      </c>
      <c r="N23" s="35"/>
      <c r="O23" s="23"/>
      <c r="P23" s="23"/>
      <c r="Q23" s="40">
        <f>IF(AT23&gt;0,"",IF(A23=0,"",IF(VLOOKUP(A23,'[1]plan gier'!A:S,19,FALSE)="","",VLOOKUP(A23,'[1]plan gier'!A:S,19,FALSE))))</f>
      </c>
      <c r="R23" s="69" t="s">
        <v>19</v>
      </c>
      <c r="S23" s="42">
        <v>12</v>
      </c>
      <c r="T23" s="179"/>
      <c r="U23" s="191">
        <f>IF(N23&lt;&gt;"",CONCATENATE(VLOOKUP(N23,'[1]zawodnicy'!$A:$E,1,FALSE)," ",VLOOKUP(N23,'[1]zawodnicy'!$A:$E,2,FALSE)," ",VLOOKUP(N23,'[1]zawodnicy'!$A:$E,3,FALSE)," - ",VLOOKUP(N23,'[1]zawodnicy'!$A:$E,4,FALSE)),"")</f>
      </c>
      <c r="V23" s="192"/>
      <c r="W23" s="70">
        <f>IF(SUM(AR23:AS23)=0,"",AS23&amp;":"&amp;AR23)</f>
      </c>
      <c r="X23" s="59"/>
      <c r="Y23" s="37">
        <f>IF(SUM(AR22:AS22)=0,"",AR22&amp;":"&amp;AS22)</f>
      </c>
      <c r="Z23" s="179"/>
      <c r="AA23" s="184"/>
      <c r="AB23" s="184"/>
      <c r="AC23" s="187"/>
      <c r="AD23" s="2"/>
      <c r="AE23" s="22"/>
      <c r="AF23" s="22"/>
      <c r="AG23" s="69" t="s">
        <v>19</v>
      </c>
      <c r="AH23" s="71">
        <f>IF(ISBLANK(S23),"",VLOOKUP(S23,'[1]plan gier'!$X:$AN,12,FALSE))</f>
        <v>21</v>
      </c>
      <c r="AI23" s="72">
        <f>IF(ISBLANK(S23),"",VLOOKUP(S23,'[1]plan gier'!$X:$AN,13,FALSE))</f>
        <v>13</v>
      </c>
      <c r="AJ23" s="72">
        <f>IF(ISBLANK(S23),"",VLOOKUP(S23,'[1]plan gier'!$X:$AN,14,FALSE))</f>
        <v>21</v>
      </c>
      <c r="AK23" s="72">
        <f>IF(ISBLANK(S23),"",VLOOKUP(S23,'[1]plan gier'!$X:$AN,15,FALSE))</f>
        <v>9</v>
      </c>
      <c r="AL23" s="72">
        <f>IF(ISBLANK(S23),"",VLOOKUP(S23,'[1]plan gier'!$X:$AN,16,FALSE))</f>
        <v>0</v>
      </c>
      <c r="AM23" s="72">
        <f>IF(ISBLANK(S23),"",VLOOKUP(S23,'[1]plan gier'!$X:$AN,17,FALSE))</f>
        <v>0</v>
      </c>
      <c r="AN23" s="73">
        <f t="shared" si="1"/>
        <v>21</v>
      </c>
      <c r="AO23" s="72">
        <f t="shared" si="1"/>
        <v>13</v>
      </c>
      <c r="AP23" s="74">
        <f t="shared" si="1"/>
        <v>21</v>
      </c>
      <c r="AQ23" s="72">
        <f t="shared" si="1"/>
        <v>9</v>
      </c>
      <c r="AR23" s="74">
        <f t="shared" si="1"/>
        <v>0</v>
      </c>
      <c r="AS23" s="72">
        <f t="shared" si="1"/>
        <v>0</v>
      </c>
      <c r="AT23" s="51">
        <f>SUM(AN23:AS23)</f>
        <v>64</v>
      </c>
      <c r="AU23" s="52">
        <v>3</v>
      </c>
      <c r="AV23" s="71">
        <f>IF(AH21&lt;AI21,1,0)+IF(AJ21&lt;AK21,1,0)+IF(AL21&lt;AM21,1,0)</f>
        <v>0</v>
      </c>
      <c r="AW23" s="72">
        <f>AZ21</f>
        <v>2</v>
      </c>
      <c r="AX23" s="72">
        <f>IF(AH22&lt;AI22,1,0)+IF(AJ22&lt;AK22,1,0)+IF(AL22&lt;AM22,1,0)</f>
        <v>2</v>
      </c>
      <c r="AY23" s="72">
        <f>AZ22</f>
        <v>0</v>
      </c>
      <c r="AZ23" s="75"/>
      <c r="BA23" s="76"/>
      <c r="BD23" s="71">
        <f>AO21+AQ21+AS21+AO22+AQ22+AS22</f>
        <v>74</v>
      </c>
      <c r="BE23" s="77">
        <f>AN21+AP21+AR21+AN22+AP22+AR22</f>
        <v>50</v>
      </c>
      <c r="BF23" s="71">
        <f>AV23+AX23</f>
        <v>2</v>
      </c>
      <c r="BG23" s="77">
        <f>AW23+AY23</f>
        <v>2</v>
      </c>
      <c r="BH23" s="71">
        <f>IF(AV23&gt;AW23,1,0)+IF(AX23&gt;AY23,1,0)</f>
        <v>1</v>
      </c>
      <c r="BI23" s="78">
        <f>IF(AW23&gt;AV23,1,0)+IF(AY23&gt;AX23,1,0)</f>
        <v>1</v>
      </c>
      <c r="BJ23" s="79">
        <f>IF(BH23+BI23=0,"",IF(BK23=MAX(BK21:BK23),1,IF(BK23=MIN(BK21:BK23),3,2)))</f>
        <v>2</v>
      </c>
      <c r="BK23" s="13">
        <f>IF(BH23+BI23&lt;&gt;0,BH23-BI23+(BF23-BG23)/100+(BD23-BE23)/10000,-2)</f>
        <v>0.0024</v>
      </c>
    </row>
    <row r="24" spans="1:59" ht="11.25" customHeight="1">
      <c r="A24" s="2"/>
      <c r="J24" s="23"/>
      <c r="K24" s="23"/>
      <c r="L24" s="23"/>
      <c r="O24" s="23"/>
      <c r="P24" s="23"/>
      <c r="Q24" s="2"/>
      <c r="R24" s="2"/>
      <c r="S24" s="2"/>
      <c r="T24" s="197">
        <v>3</v>
      </c>
      <c r="U24" s="198">
        <f>IF(AND(N25&lt;&gt;"",N26&lt;&gt;""),CONCATENATE(VLOOKUP(N25,'[1]zawodnicy'!$A:$E,1,FALSE)," ",VLOOKUP(N25,'[1]zawodnicy'!$A:$E,2,FALSE)," ",VLOOKUP(N25,'[1]zawodnicy'!$A:$E,3,FALSE)," - ",VLOOKUP(N25,'[1]zawodnicy'!$A:$E,4,FALSE)),"")</f>
      </c>
      <c r="V24" s="199"/>
      <c r="W24" s="43" t="str">
        <f>IF(SUM(AN21:AO21)=0,"",AO21&amp;":"&amp;AN21)</f>
        <v>16:21</v>
      </c>
      <c r="X24" s="80" t="str">
        <f>IF(SUM(AN22:AO22)=0,"",AO22&amp;":"&amp;AN22)</f>
        <v>21:5</v>
      </c>
      <c r="Y24" s="81"/>
      <c r="Z24" s="197" t="str">
        <f>IF(SUM(AV23:AY23)=0,"",BD23&amp;":"&amp;BE23)</f>
        <v>74:50</v>
      </c>
      <c r="AA24" s="200" t="str">
        <f>IF(SUM(AV23:AY23)=0,"",BF23&amp;":"&amp;BG23)</f>
        <v>2:2</v>
      </c>
      <c r="AB24" s="200" t="str">
        <f>IF(SUM(AV23:AY23)=0,"",BH23&amp;":"&amp;BI23)</f>
        <v>1:1</v>
      </c>
      <c r="AC24" s="201">
        <f>IF(SUM(BH21:BH23)&gt;0,BJ23,"")</f>
        <v>2</v>
      </c>
      <c r="AD24" s="2"/>
      <c r="AE24" s="22"/>
      <c r="AF24" s="22"/>
      <c r="BD24" s="12">
        <f>SUM(BD21:BD23)</f>
        <v>188</v>
      </c>
      <c r="BE24" s="12">
        <f>SUM(BE21:BE23)</f>
        <v>188</v>
      </c>
      <c r="BF24" s="12">
        <f>SUM(BF21:BF23)</f>
        <v>6</v>
      </c>
      <c r="BG24" s="12">
        <f>SUM(BG21:BG23)</f>
        <v>6</v>
      </c>
    </row>
    <row r="25" spans="1:63" ht="11.25" customHeight="1">
      <c r="A25" s="12"/>
      <c r="J25" s="12"/>
      <c r="K25" s="12"/>
      <c r="L25" s="12"/>
      <c r="N25" s="30" t="s">
        <v>23</v>
      </c>
      <c r="O25" s="31">
        <f>IF(O17&gt;0,(O17&amp;3)*1,"")</f>
        <v>23</v>
      </c>
      <c r="Q25" s="82"/>
      <c r="R25" s="82"/>
      <c r="S25" s="42"/>
      <c r="T25" s="178"/>
      <c r="U25" s="189" t="str">
        <f>IF(AND(N25&lt;&gt;"",N26=""),CONCATENATE(VLOOKUP(N25,'[1]zawodnicy'!$A:$E,1,FALSE)," ",VLOOKUP(N25,'[1]zawodnicy'!$A:$E,2,FALSE)," ",VLOOKUP(N25,'[1]zawodnicy'!$A:$E,3,FALSE)," - ",VLOOKUP(N25,'[1]zawodnicy'!$A:$E,4,FALSE)),"")</f>
        <v>B0016 Krzysztof BIELSKI - Krosno</v>
      </c>
      <c r="V25" s="190"/>
      <c r="W25" s="58" t="str">
        <f>IF(SUM(AP21:AQ21)=0,"",AQ21&amp;":"&amp;AP21)</f>
        <v>16:21</v>
      </c>
      <c r="X25" s="33" t="str">
        <f>IF(SUM(AP22:AQ22)=0,"",AQ22&amp;":"&amp;AP22)</f>
        <v>21:3</v>
      </c>
      <c r="Y25" s="83"/>
      <c r="Z25" s="178"/>
      <c r="AA25" s="183"/>
      <c r="AB25" s="183"/>
      <c r="AC25" s="186"/>
      <c r="AD25" s="2"/>
      <c r="AE25" s="22"/>
      <c r="AF25" s="2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1.25" customHeight="1" thickBot="1">
      <c r="A26" s="2"/>
      <c r="J26" s="23"/>
      <c r="K26" s="23"/>
      <c r="L26" s="23"/>
      <c r="N26" s="35"/>
      <c r="O26" s="23"/>
      <c r="P26" s="23"/>
      <c r="Q26" s="2"/>
      <c r="R26" s="2"/>
      <c r="S26" s="2"/>
      <c r="T26" s="202"/>
      <c r="U26" s="205">
        <f>IF(N26&lt;&gt;"",CONCATENATE(VLOOKUP(N26,'[1]zawodnicy'!$A:$E,1,FALSE)," ",VLOOKUP(N26,'[1]zawodnicy'!$A:$E,2,FALSE)," ",VLOOKUP(N26,'[1]zawodnicy'!$A:$E,3,FALSE)," - ",VLOOKUP(N26,'[1]zawodnicy'!$A:$E,4,FALSE)),"")</f>
      </c>
      <c r="V26" s="206"/>
      <c r="W26" s="84">
        <f>IF(SUM(AR21:AS21)=0,"",AS21&amp;":"&amp;AR21)</f>
      </c>
      <c r="X26" s="85">
        <f>IF(SUM(AR22:AS22)=0,"",AS22&amp;":"&amp;AR22)</f>
      </c>
      <c r="Y26" s="86"/>
      <c r="Z26" s="202"/>
      <c r="AA26" s="203"/>
      <c r="AB26" s="203"/>
      <c r="AC26" s="204"/>
      <c r="AD26" s="29"/>
      <c r="AE26" s="22"/>
      <c r="AF26" s="2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ht="11.25" customHeight="1" thickBot="1"/>
    <row r="28" spans="14:45" ht="11.25" customHeight="1" thickBot="1">
      <c r="N28" s="88"/>
      <c r="O28" s="14">
        <v>3</v>
      </c>
      <c r="Q28" s="171" t="str">
        <f>"Grupa "&amp;O28&amp;"."</f>
        <v>Grupa 3.</v>
      </c>
      <c r="R28" s="171"/>
      <c r="S28" s="207"/>
      <c r="T28" s="15" t="s">
        <v>2</v>
      </c>
      <c r="U28" s="173" t="s">
        <v>3</v>
      </c>
      <c r="V28" s="208"/>
      <c r="W28" s="15">
        <v>1</v>
      </c>
      <c r="X28" s="90">
        <v>2</v>
      </c>
      <c r="Y28" s="17">
        <v>3</v>
      </c>
      <c r="Z28" s="16">
        <v>4</v>
      </c>
      <c r="AA28" s="91" t="s">
        <v>4</v>
      </c>
      <c r="AB28" s="92" t="s">
        <v>5</v>
      </c>
      <c r="AC28" s="20" t="s">
        <v>6</v>
      </c>
      <c r="AD28" s="93" t="s">
        <v>7</v>
      </c>
      <c r="AE28" s="22"/>
      <c r="AF28" s="22"/>
      <c r="AH28" s="188" t="s">
        <v>10</v>
      </c>
      <c r="AI28" s="188"/>
      <c r="AJ28" s="188"/>
      <c r="AK28" s="188"/>
      <c r="AL28" s="188"/>
      <c r="AM28" s="188"/>
      <c r="AN28" s="188" t="s">
        <v>11</v>
      </c>
      <c r="AO28" s="188"/>
      <c r="AP28" s="188"/>
      <c r="AQ28" s="188"/>
      <c r="AR28" s="188"/>
      <c r="AS28" s="188"/>
    </row>
    <row r="29" spans="14:32" ht="11.25" customHeight="1">
      <c r="N29" s="24" t="s">
        <v>1</v>
      </c>
      <c r="Q29" s="175" t="s">
        <v>8</v>
      </c>
      <c r="R29" s="175"/>
      <c r="S29" s="209" t="s">
        <v>9</v>
      </c>
      <c r="T29" s="178">
        <v>1</v>
      </c>
      <c r="U29" s="189">
        <f>IF(AND(N30&lt;&gt;"",N31&lt;&gt;""),CONCATENATE(VLOOKUP(N30,'[1]zawodnicy'!$A:$E,1,FALSE)," ",VLOOKUP(N30,'[1]zawodnicy'!$A:$E,2,FALSE)," ",VLOOKUP(N30,'[1]zawodnicy'!$A:$E,3,FALSE)," - ",VLOOKUP(N30,'[1]zawodnicy'!$A:$E,4,FALSE)),"")</f>
      </c>
      <c r="V29" s="210"/>
      <c r="W29" s="32"/>
      <c r="X29" s="33" t="str">
        <f>IF(SUM(AN37:AO37)=0,"",AN37&amp;":"&amp;AO37)</f>
        <v>21:16</v>
      </c>
      <c r="Y29" s="33" t="str">
        <f>IF(SUM(AN32:AO32)=0,"",AN32&amp;":"&amp;AO32)</f>
        <v>21:8</v>
      </c>
      <c r="Z29" s="94" t="str">
        <f>IF(SUM(AN34:AO34)=0,"",AN34&amp;":"&amp;AO34)</f>
        <v>21:6</v>
      </c>
      <c r="AA29" s="178" t="str">
        <f>IF(SUM(AX32:BC32)=0,"",BD32&amp;":"&amp;BE32)</f>
        <v>126:59</v>
      </c>
      <c r="AB29" s="183" t="str">
        <f>IF(SUM(AX32:BC32)=0,"",BF32&amp;":"&amp;BG32)</f>
        <v>6:0</v>
      </c>
      <c r="AC29" s="183" t="str">
        <f>IF(SUM(AX32:BC32)=0,"",BH32&amp;":"&amp;BI32)</f>
        <v>3:0</v>
      </c>
      <c r="AD29" s="186">
        <f>IF(SUM(BH32:BH35)&gt;0,BJ32,"")</f>
        <v>1</v>
      </c>
      <c r="AE29" s="22"/>
      <c r="AF29" s="22"/>
    </row>
    <row r="30" spans="8:32" ht="11.25" customHeight="1" thickBot="1">
      <c r="H30" s="29"/>
      <c r="I30" s="2" t="str">
        <f>"1"&amp;O28&amp;N29</f>
        <v>13Runners Up</v>
      </c>
      <c r="J30" s="29" t="str">
        <f>IF(AD29="","",IF(AD29=1,N30,IF(AD32=1,N33,IF(AD35=1,N36,IF(AD38=1,N39,"")))))</f>
        <v>K0012</v>
      </c>
      <c r="K30" s="29">
        <f>IF(AD29="","",IF(AD29=1,N31,IF(AD32=1,N34,IF(AD35=1,N37,IF(AD38=1,N40,"")))))</f>
        <v>0</v>
      </c>
      <c r="L30" s="29"/>
      <c r="N30" s="30" t="s">
        <v>24</v>
      </c>
      <c r="O30" s="31">
        <f>IF(O28&gt;0,(O28&amp;1)*1,"")</f>
        <v>31</v>
      </c>
      <c r="Q30" s="175"/>
      <c r="R30" s="175"/>
      <c r="S30" s="209"/>
      <c r="T30" s="178"/>
      <c r="U30" s="189" t="str">
        <f>IF(AND(N30&lt;&gt;"",N31=""),CONCATENATE(VLOOKUP(N30,'[1]zawodnicy'!$A:$E,1,FALSE)," ",VLOOKUP(N30,'[1]zawodnicy'!$A:$E,2,FALSE)," ",VLOOKUP(N30,'[1]zawodnicy'!$A:$E,3,FALSE)," - ",VLOOKUP(N30,'[1]zawodnicy'!$A:$E,4,FALSE)),"")</f>
        <v>K0012 Piotr KOTERBA - Rzeszów</v>
      </c>
      <c r="V30" s="210"/>
      <c r="W30" s="32"/>
      <c r="X30" s="33" t="str">
        <f>IF(SUM(AP37:AQ37)=0,"",AP37&amp;":"&amp;AQ37)</f>
        <v>21:11</v>
      </c>
      <c r="Y30" s="33" t="str">
        <f>IF(SUM(AP32:AQ32)=0,"",AP32&amp;":"&amp;AQ32)</f>
        <v>21:8</v>
      </c>
      <c r="Z30" s="94" t="str">
        <f>IF(SUM(AP34:AQ34)=0,"",AP34&amp;":"&amp;AQ34)</f>
        <v>21:10</v>
      </c>
      <c r="AA30" s="178"/>
      <c r="AB30" s="183"/>
      <c r="AC30" s="183"/>
      <c r="AD30" s="186"/>
      <c r="AE30" s="22"/>
      <c r="AF30" s="22"/>
    </row>
    <row r="31" spans="10:62" ht="11.25" customHeight="1" thickBot="1">
      <c r="J31" s="29"/>
      <c r="K31" s="23"/>
      <c r="L31" s="23"/>
      <c r="N31" s="35"/>
      <c r="O31" s="23"/>
      <c r="P31" s="23"/>
      <c r="Q31" s="175"/>
      <c r="R31" s="175"/>
      <c r="S31" s="209"/>
      <c r="T31" s="179"/>
      <c r="U31" s="191">
        <f>IF(N31&lt;&gt;"",CONCATENATE(VLOOKUP(N31,'[1]zawodnicy'!$A:$E,1,FALSE)," ",VLOOKUP(N31,'[1]zawodnicy'!$A:$E,2,FALSE)," ",VLOOKUP(N31,'[1]zawodnicy'!$A:$E,3,FALSE)," - ",VLOOKUP(N31,'[1]zawodnicy'!$A:$E,4,FALSE)),"")</f>
      </c>
      <c r="V31" s="211"/>
      <c r="W31" s="32"/>
      <c r="X31" s="36">
        <f>IF(SUM(AR37:AS37)=0,"",AR37&amp;":"&amp;AS37)</f>
      </c>
      <c r="Y31" s="36">
        <f>IF(SUM(AR32:AS32)=0,"",AR32&amp;":"&amp;AS32)</f>
      </c>
      <c r="Z31" s="95">
        <f>IF(SUM(AR34:AS34)=0,"",AR34&amp;":"&amp;AS34)</f>
      </c>
      <c r="AA31" s="178"/>
      <c r="AB31" s="183"/>
      <c r="AC31" s="183"/>
      <c r="AD31" s="186"/>
      <c r="AE31" s="22"/>
      <c r="AF31" s="22"/>
      <c r="AH31" s="212" t="s">
        <v>13</v>
      </c>
      <c r="AI31" s="213"/>
      <c r="AJ31" s="213" t="s">
        <v>14</v>
      </c>
      <c r="AK31" s="213"/>
      <c r="AL31" s="213" t="s">
        <v>15</v>
      </c>
      <c r="AM31" s="213"/>
      <c r="AN31" s="212" t="s">
        <v>13</v>
      </c>
      <c r="AO31" s="213"/>
      <c r="AP31" s="213" t="s">
        <v>14</v>
      </c>
      <c r="AQ31" s="213"/>
      <c r="AR31" s="213" t="s">
        <v>15</v>
      </c>
      <c r="AS31" s="214"/>
      <c r="AV31" s="212">
        <v>1</v>
      </c>
      <c r="AW31" s="213"/>
      <c r="AX31" s="213">
        <v>2</v>
      </c>
      <c r="AY31" s="213"/>
      <c r="AZ31" s="213">
        <v>3</v>
      </c>
      <c r="BA31" s="213"/>
      <c r="BB31" s="213">
        <v>4</v>
      </c>
      <c r="BC31" s="214"/>
      <c r="BD31" s="212" t="s">
        <v>4</v>
      </c>
      <c r="BE31" s="214"/>
      <c r="BF31" s="212" t="s">
        <v>5</v>
      </c>
      <c r="BG31" s="214"/>
      <c r="BH31" s="212" t="s">
        <v>6</v>
      </c>
      <c r="BI31" s="195"/>
      <c r="BJ31" s="38" t="s">
        <v>7</v>
      </c>
    </row>
    <row r="32" spans="1:63" ht="11.25" customHeight="1">
      <c r="A32" s="12">
        <f aca="true" t="shared" si="2" ref="A32:A37">S32</f>
        <v>3</v>
      </c>
      <c r="B32" s="12" t="str">
        <f>IF(N30="","",N30)</f>
        <v>K0012</v>
      </c>
      <c r="C32" s="12">
        <f>IF(N31="","",N31)</f>
      </c>
      <c r="D32" s="12" t="str">
        <f>IF(N36="","",N36)</f>
        <v>S0032</v>
      </c>
      <c r="E32" s="12">
        <f>IF(N37="","",N37)</f>
      </c>
      <c r="H32" s="29"/>
      <c r="I32" s="2" t="str">
        <f>"2"&amp;O28&amp;N29</f>
        <v>23Runners Up</v>
      </c>
      <c r="J32" s="29" t="str">
        <f>IF(AD32="","",IF(AD29=2,N30,IF(AD32=2,N33,IF(AD35=2,N36,IF(AD38=2,N39,"")))))</f>
        <v>S0033</v>
      </c>
      <c r="K32" s="29">
        <f>IF(AD32="","",IF(AD29=2,N31,IF(AD32=2,N34,IF(AD35=2,N37,IF(AD38=2,N40,"")))))</f>
        <v>0</v>
      </c>
      <c r="L32" s="29"/>
      <c r="M32" s="39" t="str">
        <f>N29</f>
        <v>Runners Up</v>
      </c>
      <c r="O32" s="23"/>
      <c r="P32" s="23"/>
      <c r="Q32" s="40">
        <f>IF(AT32&gt;0,"",IF(A32=0,"",IF(VLOOKUP(A32,'[1]plan gier'!A:S,19,FALSE)="","",VLOOKUP(A32,'[1]plan gier'!A:S,19,FALSE))))</f>
      </c>
      <c r="R32" s="41" t="s">
        <v>16</v>
      </c>
      <c r="S32" s="96">
        <v>3</v>
      </c>
      <c r="T32" s="197">
        <v>2</v>
      </c>
      <c r="U32" s="198">
        <f>IF(AND(N33&lt;&gt;"",N34&lt;&gt;""),CONCATENATE(VLOOKUP(N33,'[1]zawodnicy'!$A:$E,1,FALSE)," ",VLOOKUP(N33,'[1]zawodnicy'!$A:$E,2,FALSE)," ",VLOOKUP(N33,'[1]zawodnicy'!$A:$E,3,FALSE)," - ",VLOOKUP(N33,'[1]zawodnicy'!$A:$E,4,FALSE)),"")</f>
      </c>
      <c r="V32" s="215"/>
      <c r="W32" s="43" t="str">
        <f>IF(SUM(AN37:AO37)=0,"",AO37&amp;":"&amp;AN37)</f>
        <v>16:21</v>
      </c>
      <c r="X32" s="97"/>
      <c r="Y32" s="80" t="str">
        <f>IF(SUM(AN35:AO35)=0,"",AN35&amp;":"&amp;AO35)</f>
        <v>21:17</v>
      </c>
      <c r="Z32" s="45" t="str">
        <f>IF(SUM(AN33:AO33)=0,"",AN33&amp;":"&amp;AO33)</f>
        <v>21:10</v>
      </c>
      <c r="AA32" s="197" t="str">
        <f>IF(SUM(AV33:AW33,AZ33:BC33)=0,"",BD33&amp;":"&amp;BE33)</f>
        <v>111:99</v>
      </c>
      <c r="AB32" s="200" t="str">
        <f>IF(SUM(AV33:AW33,AZ33:BC33)=0,"",BF33&amp;":"&amp;BG33)</f>
        <v>4:2</v>
      </c>
      <c r="AC32" s="200" t="str">
        <f>IF(SUM(AV33:AW33,AZ33:BC33)=0,"",BH33&amp;":"&amp;BI33)</f>
        <v>2:1</v>
      </c>
      <c r="AD32" s="201">
        <f>IF(SUM(BH32:BH35)&gt;0,BJ33,"")</f>
        <v>2</v>
      </c>
      <c r="AE32" s="22"/>
      <c r="AF32" s="22"/>
      <c r="AG32" s="41" t="s">
        <v>16</v>
      </c>
      <c r="AH32" s="98">
        <f>IF(ISBLANK(S32),"",VLOOKUP(S32,'[1]plan gier'!$X:$AN,12,FALSE))</f>
        <v>21</v>
      </c>
      <c r="AI32" s="49">
        <f>IF(ISBLANK(S32),"",VLOOKUP(S32,'[1]plan gier'!$X:$AN,13,FALSE))</f>
        <v>8</v>
      </c>
      <c r="AJ32" s="49">
        <f>IF(ISBLANK(S32),"",VLOOKUP(S32,'[1]plan gier'!$X:$AN,14,FALSE))</f>
        <v>21</v>
      </c>
      <c r="AK32" s="49">
        <f>IF(ISBLANK(S32),"",VLOOKUP(S32,'[1]plan gier'!$X:$AN,15,FALSE))</f>
        <v>8</v>
      </c>
      <c r="AL32" s="49">
        <f>IF(ISBLANK(S32),"",VLOOKUP(S32,'[1]plan gier'!$X:$AN,16,FALSE))</f>
        <v>0</v>
      </c>
      <c r="AM32" s="49">
        <f>IF(ISBLANK(S32),"",VLOOKUP(S32,'[1]plan gier'!$X:$AN,17,FALSE))</f>
        <v>0</v>
      </c>
      <c r="AN32" s="46">
        <f aca="true" t="shared" si="3" ref="AN32:AS37">IF(AH32="",0,AH32)</f>
        <v>21</v>
      </c>
      <c r="AO32" s="47">
        <f t="shared" si="3"/>
        <v>8</v>
      </c>
      <c r="AP32" s="47">
        <f t="shared" si="3"/>
        <v>21</v>
      </c>
      <c r="AQ32" s="47">
        <f t="shared" si="3"/>
        <v>8</v>
      </c>
      <c r="AR32" s="47">
        <f t="shared" si="3"/>
        <v>0</v>
      </c>
      <c r="AS32" s="55">
        <f t="shared" si="3"/>
        <v>0</v>
      </c>
      <c r="AT32" s="99">
        <f aca="true" t="shared" si="4" ref="AT32:AT37">SUM(AN32:AS32)</f>
        <v>58</v>
      </c>
      <c r="AU32" s="87">
        <v>1</v>
      </c>
      <c r="AV32" s="216"/>
      <c r="AW32" s="217"/>
      <c r="AX32" s="47">
        <f>IF(AH37&gt;AI37,1,0)+IF(AJ37&gt;AK37,1,0)+IF(AL37&gt;AM37,1,0)</f>
        <v>2</v>
      </c>
      <c r="AY32" s="47">
        <f>AV33</f>
        <v>0</v>
      </c>
      <c r="AZ32" s="47">
        <f>IF(AH32&gt;AI32,1,0)+IF(AJ32&gt;AK32,1,0)+IF(AL32&gt;AM32,1,0)</f>
        <v>2</v>
      </c>
      <c r="BA32" s="49">
        <f>AV34</f>
        <v>0</v>
      </c>
      <c r="BB32" s="100">
        <f>IF(AH34&gt;AI34,1,0)+IF(AJ34&gt;AK34,1,0)+IF(AL34&gt;AM34,1,0)</f>
        <v>2</v>
      </c>
      <c r="BC32" s="56">
        <f>AV35</f>
        <v>0</v>
      </c>
      <c r="BD32" s="98">
        <f>AN32+AP32+AR32+AN34+AP34+AR34+AN37+AP37+AR37</f>
        <v>126</v>
      </c>
      <c r="BE32" s="101">
        <f>AO32+AQ32+AS32+AO34+AQ34+AS34+AO37+AQ37+AS37</f>
        <v>59</v>
      </c>
      <c r="BF32" s="98">
        <f>AX32+AZ32+BB32</f>
        <v>6</v>
      </c>
      <c r="BG32" s="102">
        <f>AY32+BA32+BC32</f>
        <v>0</v>
      </c>
      <c r="BH32" s="98">
        <f>IF(AX32&gt;AY32,1,0)+IF(AZ32&gt;BA32,1,0)+IF(BB32&gt;BC32,1,0)</f>
        <v>3</v>
      </c>
      <c r="BI32" s="102">
        <f>IF(AY32&gt;AX32,1,0)+IF(BA32&gt;AZ32,1,0)+IF(BC32&gt;BB32,1,0)</f>
        <v>0</v>
      </c>
      <c r="BJ32" s="103">
        <f>IF(BH32+BI32=0,"",IF(BK32=MAX(BK32:BK35),1,IF(BK32=LARGE(BK32:BK35,2),2,IF(BK32=MIN(BK32:BK35),4,3))))</f>
        <v>1</v>
      </c>
      <c r="BK32" s="104">
        <f>IF(BH32+BI32&lt;&gt;0,BH32-BI32+(BF32-BG32)/100+(BD32-BE32)/10000,-3)</f>
        <v>3.0667</v>
      </c>
    </row>
    <row r="33" spans="1:63" ht="11.25" customHeight="1">
      <c r="A33" s="12">
        <f t="shared" si="2"/>
        <v>8</v>
      </c>
      <c r="B33" s="12" t="str">
        <f>IF(N33="","",N33)</f>
        <v>S0033</v>
      </c>
      <c r="C33" s="12">
        <f>IF(N34="","",N34)</f>
      </c>
      <c r="D33" s="12" t="str">
        <f>IF(N39="","",N39)</f>
        <v>W0012</v>
      </c>
      <c r="E33" s="12">
        <f>IF(N40="","",N40)</f>
      </c>
      <c r="J33" s="29"/>
      <c r="K33" s="12"/>
      <c r="L33" s="12"/>
      <c r="M33" s="39" t="str">
        <f>N29</f>
        <v>Runners Up</v>
      </c>
      <c r="N33" s="30" t="s">
        <v>25</v>
      </c>
      <c r="O33" s="31">
        <f>IF(O28&gt;0,(O28&amp;2)*1,"")</f>
        <v>32</v>
      </c>
      <c r="Q33" s="40">
        <f>IF(AT33&gt;0,"",IF(A33=0,"",IF(VLOOKUP(A33,'[1]plan gier'!A:S,19,FALSE)="","",VLOOKUP(A33,'[1]plan gier'!A:S,19,FALSE))))</f>
      </c>
      <c r="R33" s="41" t="s">
        <v>26</v>
      </c>
      <c r="S33" s="96">
        <v>8</v>
      </c>
      <c r="T33" s="178"/>
      <c r="U33" s="189" t="str">
        <f>IF(AND(N33&lt;&gt;"",N34=""),CONCATENATE(VLOOKUP(N33,'[1]zawodnicy'!$A:$E,1,FALSE)," ",VLOOKUP(N33,'[1]zawodnicy'!$A:$E,2,FALSE)," ",VLOOKUP(N33,'[1]zawodnicy'!$A:$E,3,FALSE)," - ",VLOOKUP(N33,'[1]zawodnicy'!$A:$E,4,FALSE)),"")</f>
        <v>S0033 Mikołaj STRAŻ - Mielec</v>
      </c>
      <c r="V33" s="210"/>
      <c r="W33" s="58" t="str">
        <f>IF(SUM(AP37:AQ37)=0,"",AQ37&amp;":"&amp;AP37)</f>
        <v>11:21</v>
      </c>
      <c r="X33" s="105"/>
      <c r="Y33" s="33" t="str">
        <f>IF(SUM(AP35:AQ35)=0,"",AP35&amp;":"&amp;AQ35)</f>
        <v>21:16</v>
      </c>
      <c r="Z33" s="34" t="str">
        <f>IF(SUM(AP33:AQ33)=0,"",AP33&amp;":"&amp;AQ33)</f>
        <v>21:14</v>
      </c>
      <c r="AA33" s="178"/>
      <c r="AB33" s="183"/>
      <c r="AC33" s="183"/>
      <c r="AD33" s="186"/>
      <c r="AE33" s="22"/>
      <c r="AF33" s="22"/>
      <c r="AG33" s="41" t="s">
        <v>26</v>
      </c>
      <c r="AH33" s="46">
        <f>IF(ISBLANK(S33),"",VLOOKUP(S33,'[1]plan gier'!$X:$AN,12,FALSE))</f>
        <v>21</v>
      </c>
      <c r="AI33" s="47">
        <f>IF(ISBLANK(S33),"",VLOOKUP(S33,'[1]plan gier'!$X:$AN,13,FALSE))</f>
        <v>10</v>
      </c>
      <c r="AJ33" s="47">
        <f>IF(ISBLANK(S33),"",VLOOKUP(S33,'[1]plan gier'!$X:$AN,14,FALSE))</f>
        <v>21</v>
      </c>
      <c r="AK33" s="47">
        <f>IF(ISBLANK(S33),"",VLOOKUP(S33,'[1]plan gier'!$X:$AN,15,FALSE))</f>
        <v>14</v>
      </c>
      <c r="AL33" s="47">
        <f>IF(ISBLANK(S33),"",VLOOKUP(S33,'[1]plan gier'!$X:$AN,16,FALSE))</f>
        <v>0</v>
      </c>
      <c r="AM33" s="47">
        <f>IF(ISBLANK(S33),"",VLOOKUP(S33,'[1]plan gier'!$X:$AN,17,FALSE))</f>
        <v>0</v>
      </c>
      <c r="AN33" s="60">
        <f t="shared" si="3"/>
        <v>21</v>
      </c>
      <c r="AO33" s="61">
        <f t="shared" si="3"/>
        <v>10</v>
      </c>
      <c r="AP33" s="61">
        <f t="shared" si="3"/>
        <v>21</v>
      </c>
      <c r="AQ33" s="61">
        <f t="shared" si="3"/>
        <v>14</v>
      </c>
      <c r="AR33" s="61">
        <f t="shared" si="3"/>
        <v>0</v>
      </c>
      <c r="AS33" s="66">
        <f t="shared" si="3"/>
        <v>0</v>
      </c>
      <c r="AT33" s="99">
        <f t="shared" si="4"/>
        <v>66</v>
      </c>
      <c r="AU33" s="87">
        <v>2</v>
      </c>
      <c r="AV33" s="60">
        <f>IF(AH37&lt;AI37,1,0)+IF(AJ37&lt;AK37,1,0)+IF(AL37&lt;AM37,1,0)</f>
        <v>0</v>
      </c>
      <c r="AW33" s="61">
        <f>AX32</f>
        <v>2</v>
      </c>
      <c r="AX33" s="106"/>
      <c r="AY33" s="107"/>
      <c r="AZ33" s="61">
        <f>IF(AH35&gt;AI35,1,0)+IF(AJ35&gt;AK35,1,0)+IF(AL35&gt;AM35,1,0)</f>
        <v>2</v>
      </c>
      <c r="BA33" s="61">
        <f>AX34</f>
        <v>0</v>
      </c>
      <c r="BB33" s="108">
        <f>IF(AH33&gt;AI33,1,0)+IF(AJ33&gt;AK33,1,0)+IF(AL33&gt;AM33,1,0)</f>
        <v>2</v>
      </c>
      <c r="BC33" s="67">
        <f>AX35</f>
        <v>0</v>
      </c>
      <c r="BD33" s="60">
        <f>AN33+AP33+AR33+AN35+AP35+AR35+AO37+AQ37+AS37</f>
        <v>111</v>
      </c>
      <c r="BE33" s="67">
        <f>AO33+AQ33+AS33+AO35+AQ35+AS35+AN37+AP37+AR37</f>
        <v>99</v>
      </c>
      <c r="BF33" s="60">
        <f>AV33+AZ33+BB33</f>
        <v>4</v>
      </c>
      <c r="BG33" s="66">
        <f>AW33+BA33+BC33</f>
        <v>2</v>
      </c>
      <c r="BH33" s="60">
        <f>IF(AV33&gt;AW33,1,0)+IF(AZ33&gt;BA33,1,0)+IF(BB33&gt;BC33,1,0)</f>
        <v>2</v>
      </c>
      <c r="BI33" s="66">
        <f>IF(AW33&gt;AV33,1,0)+IF(BA33&gt;AZ33,1,0)+IF(BC33&gt;BB33,1,0)</f>
        <v>1</v>
      </c>
      <c r="BJ33" s="68">
        <f>IF(BH33+BI33=0,"",IF(BK33=MAX(BK32:BK35),1,IF(BK33=LARGE(BK32:BK35,2),2,IF(BK33=MIN(BK32:BK35),4,3))))</f>
        <v>2</v>
      </c>
      <c r="BK33" s="104">
        <f>IF(BH33+BI33&lt;&gt;0,BH33-BI33+(BF33-BG33)/100+(BD33-BE33)/10000,-3)</f>
        <v>1.0212</v>
      </c>
    </row>
    <row r="34" spans="1:63" ht="11.25" customHeight="1">
      <c r="A34" s="12">
        <f t="shared" si="2"/>
        <v>13</v>
      </c>
      <c r="B34" s="12" t="str">
        <f>IF(N30="","",N30)</f>
        <v>K0012</v>
      </c>
      <c r="C34" s="12">
        <f>IF(N31="","",N31)</f>
      </c>
      <c r="D34" s="12" t="str">
        <f>IF(N39="","",N39)</f>
        <v>W0012</v>
      </c>
      <c r="E34" s="12">
        <f>IF(N40="","",N40)</f>
      </c>
      <c r="H34" s="29"/>
      <c r="I34" s="2" t="str">
        <f>"3"&amp;O28&amp;N29</f>
        <v>33Runners Up</v>
      </c>
      <c r="J34" s="29" t="str">
        <f>IF(AD35="","",IF(AD29=3,N30,IF(AD32=3,N33,IF(AD35=3,N36,IF(AD38=3,N39,"")))))</f>
        <v>S0032</v>
      </c>
      <c r="K34" s="29">
        <f>IF(AD35="","",IF(AD29=3,N31,IF(AD32=3,N34,IF(AD35=3,N37,IF(AD38=3,N40,"")))))</f>
        <v>0</v>
      </c>
      <c r="L34" s="29"/>
      <c r="M34" s="39" t="str">
        <f>N29</f>
        <v>Runners Up</v>
      </c>
      <c r="N34" s="35"/>
      <c r="O34" s="23"/>
      <c r="P34" s="23"/>
      <c r="Q34" s="40">
        <f>IF(AT34&gt;0,"",IF(A34=0,"",IF(VLOOKUP(A34,'[1]plan gier'!A:S,19,FALSE)="","",VLOOKUP(A34,'[1]plan gier'!A:S,19,FALSE))))</f>
      </c>
      <c r="R34" s="41" t="s">
        <v>27</v>
      </c>
      <c r="S34" s="96">
        <v>13</v>
      </c>
      <c r="T34" s="179"/>
      <c r="U34" s="191">
        <f>IF(N34&lt;&gt;"",CONCATENATE(VLOOKUP(N34,'[1]zawodnicy'!$A:$E,1,FALSE)," ",VLOOKUP(N34,'[1]zawodnicy'!$A:$E,2,FALSE)," ",VLOOKUP(N34,'[1]zawodnicy'!$A:$E,3,FALSE)," - ",VLOOKUP(N34,'[1]zawodnicy'!$A:$E,4,FALSE)),"")</f>
      </c>
      <c r="V34" s="211"/>
      <c r="W34" s="70">
        <f>IF(SUM(AR37:AS37)=0,"",AS37&amp;":"&amp;AR37)</f>
      </c>
      <c r="X34" s="105"/>
      <c r="Y34" s="36">
        <f>IF(SUM(AR35:AS35)=0,"",AR35&amp;":"&amp;AS35)</f>
      </c>
      <c r="Z34" s="37">
        <f>IF(SUM(AR33:AS33)=0,"",AR33&amp;":"&amp;AS33)</f>
      </c>
      <c r="AA34" s="178"/>
      <c r="AB34" s="183"/>
      <c r="AC34" s="183"/>
      <c r="AD34" s="186"/>
      <c r="AE34" s="22"/>
      <c r="AF34" s="22"/>
      <c r="AG34" s="41" t="s">
        <v>27</v>
      </c>
      <c r="AH34" s="46">
        <f>IF(ISBLANK(S34),"",VLOOKUP(S34,'[1]plan gier'!$X:$AN,12,FALSE))</f>
        <v>21</v>
      </c>
      <c r="AI34" s="47">
        <f>IF(ISBLANK(S34),"",VLOOKUP(S34,'[1]plan gier'!$X:$AN,13,FALSE))</f>
        <v>6</v>
      </c>
      <c r="AJ34" s="47">
        <f>IF(ISBLANK(S34),"",VLOOKUP(S34,'[1]plan gier'!$X:$AN,14,FALSE))</f>
        <v>21</v>
      </c>
      <c r="AK34" s="47">
        <f>IF(ISBLANK(S34),"",VLOOKUP(S34,'[1]plan gier'!$X:$AN,15,FALSE))</f>
        <v>10</v>
      </c>
      <c r="AL34" s="47">
        <f>IF(ISBLANK(S34),"",VLOOKUP(S34,'[1]plan gier'!$X:$AN,16,FALSE))</f>
        <v>0</v>
      </c>
      <c r="AM34" s="47">
        <f>IF(ISBLANK(S34),"",VLOOKUP(S34,'[1]plan gier'!$X:$AN,17,FALSE))</f>
        <v>0</v>
      </c>
      <c r="AN34" s="60">
        <f t="shared" si="3"/>
        <v>21</v>
      </c>
      <c r="AO34" s="61">
        <f t="shared" si="3"/>
        <v>6</v>
      </c>
      <c r="AP34" s="61">
        <f t="shared" si="3"/>
        <v>21</v>
      </c>
      <c r="AQ34" s="61">
        <f t="shared" si="3"/>
        <v>10</v>
      </c>
      <c r="AR34" s="61">
        <f t="shared" si="3"/>
        <v>0</v>
      </c>
      <c r="AS34" s="66">
        <f t="shared" si="3"/>
        <v>0</v>
      </c>
      <c r="AT34" s="99">
        <f t="shared" si="4"/>
        <v>58</v>
      </c>
      <c r="AU34" s="87">
        <v>3</v>
      </c>
      <c r="AV34" s="60">
        <f>IF(AH32&lt;AI32,1,0)+IF(AJ32&lt;AK32,1,0)+IF(AL32&lt;AM32,1,0)</f>
        <v>0</v>
      </c>
      <c r="AW34" s="61">
        <f>AZ32</f>
        <v>2</v>
      </c>
      <c r="AX34" s="61">
        <f>IF(AH35&lt;AI35,1,0)+IF(AJ35&lt;AK35,1,0)+IF(AL35&lt;AM35,1,0)</f>
        <v>0</v>
      </c>
      <c r="AY34" s="61">
        <f>AZ33</f>
        <v>2</v>
      </c>
      <c r="AZ34" s="106"/>
      <c r="BA34" s="107"/>
      <c r="BB34" s="61">
        <f>IF(AH36&gt;AI36,1,0)+IF(AJ36&gt;AK36,1,0)+IF(AL36&gt;AM36,1,0)</f>
        <v>2</v>
      </c>
      <c r="BC34" s="67">
        <f>AZ35</f>
        <v>0</v>
      </c>
      <c r="BD34" s="109">
        <f>AO32+AQ32+AS32+AO35+AQ35+AS35+AN36+AP36+AR36</f>
        <v>91</v>
      </c>
      <c r="BE34" s="110">
        <f>AN32+AP32+AR32+AN35+AP35+AR35+AO36+AQ36+AS36</f>
        <v>115</v>
      </c>
      <c r="BF34" s="109">
        <f>AV34+AX34+BB34</f>
        <v>2</v>
      </c>
      <c r="BG34" s="111">
        <f>AW34+AY34+BC34</f>
        <v>4</v>
      </c>
      <c r="BH34" s="60">
        <f>IF(AV34&gt;AW34,1,0)+IF(AX34&gt;AY34,1,0)+IF(BB34&gt;BC34,1,0)</f>
        <v>1</v>
      </c>
      <c r="BI34" s="66">
        <f>IF(AW34&gt;AV34,1,0)+IF(AY34&gt;AX34,1,0)+IF(BC34&gt;BB34,1,0)</f>
        <v>2</v>
      </c>
      <c r="BJ34" s="68">
        <f>IF(BH34+BI34=0,"",IF(BK34=MAX(BK32:BK35),1,IF(BK34=LARGE(BK32:BK35,2),2,IF(BK34=MIN(BK32:BK35),4,3))))</f>
        <v>3</v>
      </c>
      <c r="BK34" s="104">
        <f>IF(BH34+BI34&lt;&gt;0,BH34-BI34+(BF34-BG34)/100+(BD34-BE34)/10000,-3)</f>
        <v>-1.0224</v>
      </c>
    </row>
    <row r="35" spans="1:63" ht="11.25" customHeight="1" thickBot="1">
      <c r="A35" s="12">
        <f t="shared" si="2"/>
        <v>42</v>
      </c>
      <c r="B35" s="12" t="str">
        <f>IF(N33="","",N33)</f>
        <v>S0033</v>
      </c>
      <c r="C35" s="12">
        <f>IF(N34="","",N34)</f>
      </c>
      <c r="D35" s="12" t="str">
        <f>IF(N36="","",N36)</f>
        <v>S0032</v>
      </c>
      <c r="E35" s="12">
        <f>IF(N37="","",N37)</f>
      </c>
      <c r="J35" s="29"/>
      <c r="K35" s="23"/>
      <c r="L35" s="23"/>
      <c r="M35" s="39" t="str">
        <f>N29</f>
        <v>Runners Up</v>
      </c>
      <c r="O35" s="23"/>
      <c r="P35" s="23"/>
      <c r="Q35" s="40">
        <f>IF(AT35&gt;0,"",IF(A35=0,"",IF(VLOOKUP(A35,'[1]plan gier'!A:S,19,FALSE)="","",VLOOKUP(A35,'[1]plan gier'!A:S,19,FALSE))))</f>
      </c>
      <c r="R35" s="41" t="s">
        <v>18</v>
      </c>
      <c r="S35" s="96">
        <v>42</v>
      </c>
      <c r="T35" s="197">
        <v>3</v>
      </c>
      <c r="U35" s="198">
        <f>IF(AND(N36&lt;&gt;"",N37&lt;&gt;""),CONCATENATE(VLOOKUP(N36,'[1]zawodnicy'!$A:$E,1,FALSE)," ",VLOOKUP(N36,'[1]zawodnicy'!$A:$E,2,FALSE)," ",VLOOKUP(N36,'[1]zawodnicy'!$A:$E,3,FALSE)," - ",VLOOKUP(N36,'[1]zawodnicy'!$A:$E,4,FALSE)),"")</f>
      </c>
      <c r="V35" s="215"/>
      <c r="W35" s="43" t="str">
        <f>IF(SUM(AN32:AO32)=0,"",AO32&amp;":"&amp;AN32)</f>
        <v>8:21</v>
      </c>
      <c r="X35" s="80" t="str">
        <f>IF(SUM(AN35:AO35)=0,"",AO35&amp;":"&amp;AN35)</f>
        <v>17:21</v>
      </c>
      <c r="Y35" s="44"/>
      <c r="Z35" s="45" t="str">
        <f>IF(SUM(AN36:AO36)=0,"",AN36&amp;":"&amp;AO36)</f>
        <v>21:12</v>
      </c>
      <c r="AA35" s="197" t="str">
        <f>IF(SUM(AV34:AY34,BB34:BC34)=0,"",BD34&amp;":"&amp;BE34)</f>
        <v>91:115</v>
      </c>
      <c r="AB35" s="200" t="str">
        <f>IF(SUM(AV34:AY34,BB34:BC34)=0,"",BF34&amp;":"&amp;BG34)</f>
        <v>2:4</v>
      </c>
      <c r="AC35" s="200" t="str">
        <f>IF(SUM(AV34:AY34,BB34:BC34)=0,"",BH34&amp;":"&amp;BI34)</f>
        <v>1:2</v>
      </c>
      <c r="AD35" s="201">
        <f>IF(SUM(BH32:BH35)&gt;0,BJ34,"")</f>
        <v>3</v>
      </c>
      <c r="AE35" s="22"/>
      <c r="AF35" s="22"/>
      <c r="AG35" s="41" t="s">
        <v>18</v>
      </c>
      <c r="AH35" s="46">
        <f>IF(ISBLANK(S35),"",VLOOKUP(S35,'[1]plan gier'!$X:$AN,12,FALSE))</f>
        <v>21</v>
      </c>
      <c r="AI35" s="47">
        <f>IF(ISBLANK(S35),"",VLOOKUP(S35,'[1]plan gier'!$X:$AN,13,FALSE))</f>
        <v>17</v>
      </c>
      <c r="AJ35" s="47">
        <f>IF(ISBLANK(S35),"",VLOOKUP(S35,'[1]plan gier'!$X:$AN,14,FALSE))</f>
        <v>21</v>
      </c>
      <c r="AK35" s="47">
        <f>IF(ISBLANK(S35),"",VLOOKUP(S35,'[1]plan gier'!$X:$AN,15,FALSE))</f>
        <v>16</v>
      </c>
      <c r="AL35" s="47">
        <f>IF(ISBLANK(S35),"",VLOOKUP(S35,'[1]plan gier'!$X:$AN,16,FALSE))</f>
        <v>0</v>
      </c>
      <c r="AM35" s="47">
        <f>IF(ISBLANK(S35),"",VLOOKUP(S35,'[1]plan gier'!$X:$AN,17,FALSE))</f>
        <v>0</v>
      </c>
      <c r="AN35" s="60">
        <f t="shared" si="3"/>
        <v>21</v>
      </c>
      <c r="AO35" s="61">
        <f t="shared" si="3"/>
        <v>17</v>
      </c>
      <c r="AP35" s="61">
        <f t="shared" si="3"/>
        <v>21</v>
      </c>
      <c r="AQ35" s="61">
        <f t="shared" si="3"/>
        <v>16</v>
      </c>
      <c r="AR35" s="61">
        <f t="shared" si="3"/>
        <v>0</v>
      </c>
      <c r="AS35" s="66">
        <f t="shared" si="3"/>
        <v>0</v>
      </c>
      <c r="AT35" s="99">
        <f t="shared" si="4"/>
        <v>75</v>
      </c>
      <c r="AU35" s="87">
        <v>4</v>
      </c>
      <c r="AV35" s="112">
        <f>IF(AH34&lt;AI34,1,0)+IF(AJ34&lt;AK34,1,0)+IF(AL34&lt;AM34,1,0)</f>
        <v>0</v>
      </c>
      <c r="AW35" s="113">
        <f>BB32</f>
        <v>2</v>
      </c>
      <c r="AX35" s="113">
        <f>IF(AH33&lt;AI33,1,0)+IF(AJ33&lt;AK33,1,0)+IF(AL33&lt;AM33,1,0)</f>
        <v>0</v>
      </c>
      <c r="AY35" s="113">
        <f>BB33</f>
        <v>2</v>
      </c>
      <c r="AZ35" s="72">
        <f>IF(AH36&lt;AI36,1,0)+IF(AJ36&lt;AK36,1,0)+IF(AL36&lt;AM36,1,0)</f>
        <v>0</v>
      </c>
      <c r="BA35" s="72">
        <f>BB34</f>
        <v>2</v>
      </c>
      <c r="BB35" s="114"/>
      <c r="BC35" s="115"/>
      <c r="BD35" s="71">
        <f>AO33+AQ33+AS33+AO34+AQ34+AS34+AO36+AQ36+AS36</f>
        <v>71</v>
      </c>
      <c r="BE35" s="78">
        <f>AN33+AP33+AR33+AN34+AP34+AR34+AN36+AP36+AR36</f>
        <v>126</v>
      </c>
      <c r="BF35" s="71">
        <f>AV35+AX35+AZ35</f>
        <v>0</v>
      </c>
      <c r="BG35" s="77">
        <f>AW35+AY35+BA35</f>
        <v>6</v>
      </c>
      <c r="BH35" s="71">
        <f>IF(AV35&gt;AW35,1,0)+IF(AX35&gt;AY35,1,0)+IF(AZ35&gt;BA35,1,0)</f>
        <v>0</v>
      </c>
      <c r="BI35" s="77">
        <f>IF(AW35&gt;AV35,1,0)+IF(AY35&gt;AX35,1,0)+IF(BA35&gt;AZ35,1,0)</f>
        <v>3</v>
      </c>
      <c r="BJ35" s="79">
        <f>IF(BH35+BI35=0,"",IF(BK35=MAX(BK32:BK35),1,IF(BK35=LARGE(BK32:BK35,2),2,IF(BK35=MIN(BK32:BK35),4,3))))</f>
        <v>4</v>
      </c>
      <c r="BK35" s="104">
        <f>IF(BH35+BI35&lt;&gt;0,BH35-BI35+(BF35-BG35)/100+(BD35-BE35)/10000,-3)</f>
        <v>-3.0655</v>
      </c>
    </row>
    <row r="36" spans="1:63" ht="11.25" customHeight="1">
      <c r="A36" s="12">
        <f t="shared" si="2"/>
        <v>43</v>
      </c>
      <c r="B36" s="12" t="str">
        <f>IF(N36="","",N36)</f>
        <v>S0032</v>
      </c>
      <c r="C36" s="12">
        <f>IF(N37="","",N37)</f>
      </c>
      <c r="D36" s="12" t="str">
        <f>IF(N39="","",N39)</f>
        <v>W0012</v>
      </c>
      <c r="E36" s="12">
        <f>IF(N40="","",N40)</f>
      </c>
      <c r="H36" s="29"/>
      <c r="I36" s="2" t="str">
        <f>"4"&amp;O28&amp;N29</f>
        <v>43Runners Up</v>
      </c>
      <c r="J36" s="29" t="str">
        <f>IF(AD38="","",IF(AD29=4,N30,IF(AD32=4,N33,IF(AD35=4,N36,IF(AD38=4,N39,"")))))</f>
        <v>W0012</v>
      </c>
      <c r="K36" s="29">
        <f>IF(AD38="","",IF(AD29=4,N31,IF(AD32=4,N34,IF(AD35=4,N37,IF(AD38=4,N40,"")))))</f>
        <v>0</v>
      </c>
      <c r="L36" s="29"/>
      <c r="M36" s="39" t="str">
        <f>N29</f>
        <v>Runners Up</v>
      </c>
      <c r="N36" s="30" t="s">
        <v>28</v>
      </c>
      <c r="O36" s="31">
        <f>IF(O28&gt;0,(O28&amp;3)*1,"")</f>
        <v>33</v>
      </c>
      <c r="Q36" s="40">
        <f>IF(AT36&gt;0,"",IF(A36=0,"",IF(VLOOKUP(A36,'[1]plan gier'!A:S,19,FALSE)="","",VLOOKUP(A36,'[1]plan gier'!A:S,19,FALSE))))</f>
      </c>
      <c r="R36" s="41" t="s">
        <v>29</v>
      </c>
      <c r="S36" s="96">
        <v>43</v>
      </c>
      <c r="T36" s="178"/>
      <c r="U36" s="189" t="str">
        <f>IF(AND(N36&lt;&gt;"",N37=""),CONCATENATE(VLOOKUP(N36,'[1]zawodnicy'!$A:$E,1,FALSE)," ",VLOOKUP(N36,'[1]zawodnicy'!$A:$E,2,FALSE)," ",VLOOKUP(N36,'[1]zawodnicy'!$A:$E,3,FALSE)," - ",VLOOKUP(N36,'[1]zawodnicy'!$A:$E,4,FALSE)),"")</f>
        <v>S0032 Łukasz SZANTULA - Mielec</v>
      </c>
      <c r="V36" s="210"/>
      <c r="W36" s="58" t="str">
        <f>IF(SUM(AP32:AQ32)=0,"",AQ32&amp;":"&amp;AP32)</f>
        <v>8:21</v>
      </c>
      <c r="X36" s="33" t="str">
        <f>IF(SUM(AP35:AQ35)=0,"",AQ35&amp;":"&amp;AP35)</f>
        <v>16:21</v>
      </c>
      <c r="Y36" s="59"/>
      <c r="Z36" s="34" t="str">
        <f>IF(SUM(AP36:AQ36)=0,"",AP36&amp;":"&amp;AQ36)</f>
        <v>21:19</v>
      </c>
      <c r="AA36" s="178"/>
      <c r="AB36" s="183"/>
      <c r="AC36" s="183"/>
      <c r="AD36" s="186"/>
      <c r="AE36" s="22"/>
      <c r="AF36" s="22"/>
      <c r="AG36" s="41" t="s">
        <v>29</v>
      </c>
      <c r="AH36" s="46">
        <f>IF(ISBLANK(S36),"",VLOOKUP(S36,'[1]plan gier'!$X:$AN,12,FALSE))</f>
        <v>21</v>
      </c>
      <c r="AI36" s="47">
        <f>IF(ISBLANK(S36),"",VLOOKUP(S36,'[1]plan gier'!$X:$AN,13,FALSE))</f>
        <v>12</v>
      </c>
      <c r="AJ36" s="47">
        <f>IF(ISBLANK(S36),"",VLOOKUP(S36,'[1]plan gier'!$X:$AN,14,FALSE))</f>
        <v>21</v>
      </c>
      <c r="AK36" s="47">
        <f>IF(ISBLANK(S36),"",VLOOKUP(S36,'[1]plan gier'!$X:$AN,15,FALSE))</f>
        <v>19</v>
      </c>
      <c r="AL36" s="47">
        <f>IF(ISBLANK(S36),"",VLOOKUP(S36,'[1]plan gier'!$X:$AN,16,FALSE))</f>
        <v>0</v>
      </c>
      <c r="AM36" s="47">
        <f>IF(ISBLANK(S36),"",VLOOKUP(S36,'[1]plan gier'!$X:$AN,17,FALSE))</f>
        <v>0</v>
      </c>
      <c r="AN36" s="60">
        <f t="shared" si="3"/>
        <v>21</v>
      </c>
      <c r="AO36" s="61">
        <f t="shared" si="3"/>
        <v>12</v>
      </c>
      <c r="AP36" s="61">
        <f t="shared" si="3"/>
        <v>21</v>
      </c>
      <c r="AQ36" s="61">
        <f t="shared" si="3"/>
        <v>19</v>
      </c>
      <c r="AR36" s="61">
        <f t="shared" si="3"/>
        <v>0</v>
      </c>
      <c r="AS36" s="66">
        <f t="shared" si="3"/>
        <v>0</v>
      </c>
      <c r="AT36" s="99">
        <f t="shared" si="4"/>
        <v>73</v>
      </c>
      <c r="BD36" s="12">
        <f aca="true" t="shared" si="5" ref="BD36:BI36">SUM(BD32:BD35)</f>
        <v>399</v>
      </c>
      <c r="BE36" s="12">
        <f t="shared" si="5"/>
        <v>399</v>
      </c>
      <c r="BF36" s="12">
        <f t="shared" si="5"/>
        <v>12</v>
      </c>
      <c r="BG36" s="12">
        <f t="shared" si="5"/>
        <v>12</v>
      </c>
      <c r="BH36" s="12">
        <f t="shared" si="5"/>
        <v>6</v>
      </c>
      <c r="BI36" s="12">
        <f t="shared" si="5"/>
        <v>6</v>
      </c>
      <c r="BK36" s="13">
        <f>SUM(BK32:BK35)</f>
        <v>0</v>
      </c>
    </row>
    <row r="37" spans="1:46" ht="11.25" customHeight="1" thickBot="1">
      <c r="A37" s="12">
        <f t="shared" si="2"/>
        <v>44</v>
      </c>
      <c r="B37" s="12" t="str">
        <f>IF(N30="","",N30)</f>
        <v>K0012</v>
      </c>
      <c r="C37" s="12">
        <f>IF(N31="","",N31)</f>
      </c>
      <c r="D37" s="12" t="str">
        <f>IF(N33="","",N33)</f>
        <v>S0033</v>
      </c>
      <c r="E37" s="12">
        <f>IF(N34="","",N34)</f>
      </c>
      <c r="J37" s="23"/>
      <c r="K37" s="23"/>
      <c r="L37" s="23"/>
      <c r="M37" s="39" t="str">
        <f>N29</f>
        <v>Runners Up</v>
      </c>
      <c r="N37" s="35"/>
      <c r="O37" s="23"/>
      <c r="P37" s="23"/>
      <c r="Q37" s="40">
        <f>IF(AT37&gt;0,"",IF(A37=0,"",IF(VLOOKUP(A37,'[1]plan gier'!A:S,19,FALSE)="","",VLOOKUP(A37,'[1]plan gier'!A:S,19,FALSE))))</f>
      </c>
      <c r="R37" s="41" t="s">
        <v>19</v>
      </c>
      <c r="S37" s="96">
        <v>44</v>
      </c>
      <c r="T37" s="179"/>
      <c r="U37" s="191">
        <f>IF(N37&lt;&gt;"",CONCATENATE(VLOOKUP(N37,'[1]zawodnicy'!$A:$E,1,FALSE)," ",VLOOKUP(N37,'[1]zawodnicy'!$A:$E,2,FALSE)," ",VLOOKUP(N37,'[1]zawodnicy'!$A:$E,3,FALSE)," - ",VLOOKUP(N37,'[1]zawodnicy'!$A:$E,4,FALSE)),"")</f>
      </c>
      <c r="V37" s="211"/>
      <c r="W37" s="70">
        <f>IF(SUM(AR32:AS32)=0,"",AS32&amp;":"&amp;AR32)</f>
      </c>
      <c r="X37" s="36">
        <f>IF(SUM(AR35:AS35)=0,"",AS35&amp;":"&amp;AR35)</f>
      </c>
      <c r="Y37" s="59"/>
      <c r="Z37" s="37">
        <f>IF(SUM(AR36:AS36)=0,"",AR36&amp;":"&amp;AS36)</f>
      </c>
      <c r="AA37" s="178"/>
      <c r="AB37" s="183"/>
      <c r="AC37" s="183"/>
      <c r="AD37" s="186"/>
      <c r="AE37" s="22"/>
      <c r="AF37" s="22"/>
      <c r="AG37" s="41" t="s">
        <v>19</v>
      </c>
      <c r="AH37" s="112">
        <f>IF(ISBLANK(S37),"",VLOOKUP(S37,'[1]plan gier'!$X:$AN,12,FALSE))</f>
        <v>21</v>
      </c>
      <c r="AI37" s="113">
        <f>IF(ISBLANK(S37),"",VLOOKUP(S37,'[1]plan gier'!$X:$AN,13,FALSE))</f>
        <v>16</v>
      </c>
      <c r="AJ37" s="113">
        <f>IF(ISBLANK(S37),"",VLOOKUP(S37,'[1]plan gier'!$X:$AN,14,FALSE))</f>
        <v>21</v>
      </c>
      <c r="AK37" s="113">
        <f>IF(ISBLANK(S37),"",VLOOKUP(S37,'[1]plan gier'!$X:$AN,15,FALSE))</f>
        <v>11</v>
      </c>
      <c r="AL37" s="113">
        <f>IF(ISBLANK(S37),"",VLOOKUP(S37,'[1]plan gier'!$X:$AN,16,FALSE))</f>
        <v>0</v>
      </c>
      <c r="AM37" s="113">
        <f>IF(ISBLANK(S37),"",VLOOKUP(S37,'[1]plan gier'!$X:$AN,17,FALSE))</f>
        <v>0</v>
      </c>
      <c r="AN37" s="71">
        <f t="shared" si="3"/>
        <v>21</v>
      </c>
      <c r="AO37" s="72">
        <f t="shared" si="3"/>
        <v>16</v>
      </c>
      <c r="AP37" s="72">
        <f t="shared" si="3"/>
        <v>21</v>
      </c>
      <c r="AQ37" s="72">
        <f t="shared" si="3"/>
        <v>11</v>
      </c>
      <c r="AR37" s="72">
        <f t="shared" si="3"/>
        <v>0</v>
      </c>
      <c r="AS37" s="77">
        <f t="shared" si="3"/>
        <v>0</v>
      </c>
      <c r="AT37" s="99">
        <f t="shared" si="4"/>
        <v>69</v>
      </c>
    </row>
    <row r="38" spans="1:46" ht="11.25" customHeight="1">
      <c r="A38" s="2"/>
      <c r="J38" s="23"/>
      <c r="K38" s="23"/>
      <c r="L38" s="23"/>
      <c r="O38" s="23"/>
      <c r="P38" s="23"/>
      <c r="Q38" s="2"/>
      <c r="R38" s="2"/>
      <c r="S38" s="2"/>
      <c r="T38" s="197">
        <v>4</v>
      </c>
      <c r="U38" s="198">
        <f>IF(AND(N39&lt;&gt;"",N40&lt;&gt;""),CONCATENATE(VLOOKUP(N39,'[1]zawodnicy'!$A:$E,1,FALSE)," ",VLOOKUP(N39,'[1]zawodnicy'!$A:$E,2,FALSE)," ",VLOOKUP(N39,'[1]zawodnicy'!$A:$E,3,FALSE)," - ",VLOOKUP(N39,'[1]zawodnicy'!$A:$E,4,FALSE)),"")</f>
      </c>
      <c r="V38" s="215"/>
      <c r="W38" s="43" t="str">
        <f>IF(SUM(AN34:AO34)=0,"",AO34&amp;":"&amp;AN34)</f>
        <v>6:21</v>
      </c>
      <c r="X38" s="80" t="str">
        <f>IF(SUM(AN33:AO33)=0,"",AO33&amp;":"&amp;AN33)</f>
        <v>10:21</v>
      </c>
      <c r="Y38" s="80" t="str">
        <f>IF(SUM(AN36:AO36)=0,"",AO36&amp;":"&amp;AN36)</f>
        <v>12:21</v>
      </c>
      <c r="Z38" s="116"/>
      <c r="AA38" s="197" t="str">
        <f>IF(SUM(AV35:BA35)=0,"",BD35&amp;":"&amp;BE35)</f>
        <v>71:126</v>
      </c>
      <c r="AB38" s="200" t="str">
        <f>IF(SUM(AV35:BA35)=0,"",BF35&amp;":"&amp;BG35)</f>
        <v>0:6</v>
      </c>
      <c r="AC38" s="200" t="str">
        <f>IF(SUM(AV35:BA35)=0,"",BH35&amp;":"&amp;BI35)</f>
        <v>0:3</v>
      </c>
      <c r="AD38" s="201">
        <f>IF(SUM(BH32:BH35)&gt;0,BJ35,"")</f>
        <v>4</v>
      </c>
      <c r="AE38" s="22"/>
      <c r="AF38" s="2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63" ht="11.25" customHeight="1">
      <c r="A39" s="12"/>
      <c r="B39" s="12"/>
      <c r="C39" s="12"/>
      <c r="D39" s="12"/>
      <c r="E39" s="12"/>
      <c r="H39" s="29"/>
      <c r="J39" s="12"/>
      <c r="K39" s="12"/>
      <c r="L39" s="12"/>
      <c r="N39" s="30" t="s">
        <v>30</v>
      </c>
      <c r="O39" s="31">
        <f>IF(O28&gt;0,(O28&amp;4)*1,"")</f>
        <v>34</v>
      </c>
      <c r="Q39" s="82"/>
      <c r="R39" s="82"/>
      <c r="S39" s="42"/>
      <c r="T39" s="178"/>
      <c r="U39" s="189" t="str">
        <f>IF(AND(N39&lt;&gt;"",N40=""),CONCATENATE(VLOOKUP(N39,'[1]zawodnicy'!$A:$E,1,FALSE)," ",VLOOKUP(N39,'[1]zawodnicy'!$A:$E,2,FALSE)," ",VLOOKUP(N39,'[1]zawodnicy'!$A:$E,3,FALSE)," - ",VLOOKUP(N39,'[1]zawodnicy'!$A:$E,4,FALSE)),"")</f>
        <v>W0012 Tomasz WYDRO - Mielec</v>
      </c>
      <c r="V39" s="210"/>
      <c r="W39" s="58" t="str">
        <f>IF(SUM(AP34:AQ34)=0,"",AQ34&amp;":"&amp;AP34)</f>
        <v>10:21</v>
      </c>
      <c r="X39" s="33" t="str">
        <f>IF(SUM(AP33:AQ33)=0,"",AQ33&amp;":"&amp;AP33)</f>
        <v>14:21</v>
      </c>
      <c r="Y39" s="33" t="str">
        <f>IF(SUM(AP36:AQ36)=0,"",AQ36&amp;":"&amp;AP36)</f>
        <v>19:21</v>
      </c>
      <c r="Z39" s="117"/>
      <c r="AA39" s="178"/>
      <c r="AB39" s="183"/>
      <c r="AC39" s="183"/>
      <c r="AD39" s="186"/>
      <c r="AE39" s="22"/>
      <c r="AF39" s="2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1.25" customHeight="1" thickBot="1">
      <c r="A40" s="2"/>
      <c r="J40" s="23"/>
      <c r="K40" s="23"/>
      <c r="L40" s="23"/>
      <c r="N40" s="35"/>
      <c r="O40" s="23"/>
      <c r="P40" s="23"/>
      <c r="Q40" s="2"/>
      <c r="R40" s="2"/>
      <c r="S40" s="2"/>
      <c r="T40" s="202"/>
      <c r="U40" s="205">
        <f>IF(N40&lt;&gt;"",CONCATENATE(VLOOKUP(N40,'[1]zawodnicy'!$A:$E,1,FALSE)," ",VLOOKUP(N40,'[1]zawodnicy'!$A:$E,2,FALSE)," ",VLOOKUP(N40,'[1]zawodnicy'!$A:$E,3,FALSE)," - ",VLOOKUP(N40,'[1]zawodnicy'!$A:$E,4,FALSE)),"")</f>
      </c>
      <c r="V40" s="218"/>
      <c r="W40" s="84">
        <f>IF(SUM(AR34:AS34)=0,"",AS34&amp;":"&amp;AR34)</f>
      </c>
      <c r="X40" s="85">
        <f>IF(SUM(AR33:AS33)=0,"",AS33&amp;":"&amp;AR33)</f>
      </c>
      <c r="Y40" s="85">
        <f>IF(SUM(AR36:AS36)=0,"",AS36&amp;":"&amp;AR36)</f>
      </c>
      <c r="Z40" s="86"/>
      <c r="AA40" s="202"/>
      <c r="AB40" s="203"/>
      <c r="AC40" s="203"/>
      <c r="AD40" s="204"/>
      <c r="AE40" s="22"/>
      <c r="AF40" s="2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ht="11.25" customHeight="1" thickBot="1"/>
    <row r="42" spans="14:32" ht="11.25" customHeight="1" thickBot="1">
      <c r="N42" s="8"/>
      <c r="O42" s="14">
        <v>4</v>
      </c>
      <c r="Q42" s="171" t="str">
        <f>"Grupa "&amp;O42&amp;"."</f>
        <v>Grupa 4.</v>
      </c>
      <c r="R42" s="171"/>
      <c r="S42" s="172"/>
      <c r="T42" s="15" t="s">
        <v>2</v>
      </c>
      <c r="U42" s="173" t="s">
        <v>3</v>
      </c>
      <c r="V42" s="174"/>
      <c r="W42" s="15">
        <v>1</v>
      </c>
      <c r="X42" s="17">
        <v>2</v>
      </c>
      <c r="Y42" s="18">
        <v>3</v>
      </c>
      <c r="Z42" s="19" t="s">
        <v>4</v>
      </c>
      <c r="AA42" s="20" t="s">
        <v>5</v>
      </c>
      <c r="AB42" s="20" t="s">
        <v>6</v>
      </c>
      <c r="AC42" s="21" t="s">
        <v>7</v>
      </c>
      <c r="AD42" s="2"/>
      <c r="AE42" s="22"/>
      <c r="AF42" s="22"/>
    </row>
    <row r="43" spans="10:45" ht="11.25" customHeight="1">
      <c r="J43" s="23"/>
      <c r="K43" s="23"/>
      <c r="L43" s="23"/>
      <c r="N43" s="24" t="s">
        <v>1</v>
      </c>
      <c r="Q43" s="175" t="s">
        <v>8</v>
      </c>
      <c r="R43" s="175"/>
      <c r="S43" s="176" t="s">
        <v>9</v>
      </c>
      <c r="T43" s="177">
        <v>1</v>
      </c>
      <c r="U43" s="180">
        <f>IF(AND(N44&lt;&gt;"",N45&lt;&gt;""),CONCATENATE(VLOOKUP(N44,'[1]zawodnicy'!$A:$E,1,FALSE)," ",VLOOKUP(N44,'[1]zawodnicy'!$A:$E,2,FALSE)," ",VLOOKUP(N44,'[1]zawodnicy'!$A:$E,3,FALSE)," - ",VLOOKUP(N44,'[1]zawodnicy'!$A:$E,4,FALSE)),"")</f>
      </c>
      <c r="V43" s="181"/>
      <c r="W43" s="25"/>
      <c r="X43" s="26" t="str">
        <f>IF(SUM(AN48:AO48)=0,"",AN48&amp;":"&amp;AO48)</f>
        <v>21:11</v>
      </c>
      <c r="Y43" s="27" t="str">
        <f>IF(SUM(AN46:AO46)=0,"",AN46&amp;":"&amp;AO46)</f>
        <v>21:8</v>
      </c>
      <c r="Z43" s="177" t="str">
        <f>IF(SUM(AX46:BA46)=0,"",BD46&amp;":"&amp;BE46)</f>
        <v>84:34</v>
      </c>
      <c r="AA43" s="182" t="str">
        <f>IF(SUM(AX46:BA46)=0,"",BF46&amp;":"&amp;BG46)</f>
        <v>4:0</v>
      </c>
      <c r="AB43" s="182" t="str">
        <f>IF(SUM(AX46:BA46)=0,"",BH46&amp;":"&amp;BI46)</f>
        <v>2:0</v>
      </c>
      <c r="AC43" s="185">
        <f>IF(SUM(BH46:BH48)&gt;0,BJ46,"")</f>
        <v>1</v>
      </c>
      <c r="AD43" s="2"/>
      <c r="AE43" s="22"/>
      <c r="AF43" s="22"/>
      <c r="AG43" s="28"/>
      <c r="AH43" s="188" t="s">
        <v>10</v>
      </c>
      <c r="AI43" s="188"/>
      <c r="AJ43" s="188"/>
      <c r="AK43" s="188"/>
      <c r="AL43" s="188"/>
      <c r="AM43" s="188"/>
      <c r="AN43" s="188" t="s">
        <v>11</v>
      </c>
      <c r="AO43" s="188"/>
      <c r="AP43" s="188"/>
      <c r="AQ43" s="188"/>
      <c r="AR43" s="188"/>
      <c r="AS43" s="188"/>
    </row>
    <row r="44" spans="9:59" ht="11.25" customHeight="1" thickBot="1">
      <c r="I44" s="2" t="str">
        <f>"1"&amp;O42&amp;N43</f>
        <v>14Runners Up</v>
      </c>
      <c r="J44" s="29" t="str">
        <f>IF(AC43="","",IF(AC43=1,N44,IF(AC46=1,N47,IF(AC49=1,N50,""))))</f>
        <v>S0020</v>
      </c>
      <c r="K44" s="29">
        <f>IF(AC43="","",IF(AC43=1,N45,IF(AC46=1,N48,IF(AC49=1,N51,""))))</f>
        <v>0</v>
      </c>
      <c r="L44" s="29"/>
      <c r="N44" s="30" t="s">
        <v>31</v>
      </c>
      <c r="O44" s="31">
        <f>IF(O42&gt;0,(O42&amp;1)*1,"")</f>
        <v>41</v>
      </c>
      <c r="Q44" s="175"/>
      <c r="R44" s="175"/>
      <c r="S44" s="176"/>
      <c r="T44" s="178"/>
      <c r="U44" s="189" t="str">
        <f>IF(AND(N44&lt;&gt;"",N45=""),CONCATENATE(VLOOKUP(N44,'[1]zawodnicy'!$A:$E,1,FALSE)," ",VLOOKUP(N44,'[1]zawodnicy'!$A:$E,2,FALSE)," ",VLOOKUP(N44,'[1]zawodnicy'!$A:$E,3,FALSE)," - ",VLOOKUP(N44,'[1]zawodnicy'!$A:$E,4,FALSE)),"")</f>
        <v>S0020 Mariusz SŁOMBA - Mielec</v>
      </c>
      <c r="V44" s="190"/>
      <c r="W44" s="32"/>
      <c r="X44" s="33" t="str">
        <f>IF(SUM(AP48:AQ48)=0,"",AP48&amp;":"&amp;AQ48)</f>
        <v>21:7</v>
      </c>
      <c r="Y44" s="34" t="str">
        <f>IF(SUM(AP46:AQ46)=0,"",AP46&amp;":"&amp;AQ46)</f>
        <v>21:8</v>
      </c>
      <c r="Z44" s="178"/>
      <c r="AA44" s="183"/>
      <c r="AB44" s="183"/>
      <c r="AC44" s="186"/>
      <c r="AD44" s="2"/>
      <c r="AE44" s="22"/>
      <c r="AF44" s="22"/>
      <c r="AG44" s="28"/>
      <c r="BD44" s="12">
        <f>SUM(BD46:BD48)</f>
        <v>171</v>
      </c>
      <c r="BE44" s="12">
        <f>SUM(BE46:BE48)</f>
        <v>171</v>
      </c>
      <c r="BF44" s="12">
        <f>SUM(BF46:BF48)</f>
        <v>6</v>
      </c>
      <c r="BG44" s="12">
        <f>SUM(BG46:BG48)</f>
        <v>6</v>
      </c>
    </row>
    <row r="45" spans="10:63" ht="11.25" customHeight="1" thickBot="1">
      <c r="J45" s="29"/>
      <c r="K45" s="23"/>
      <c r="L45" s="23"/>
      <c r="N45" s="35"/>
      <c r="O45" s="23"/>
      <c r="P45" s="23"/>
      <c r="Q45" s="175"/>
      <c r="R45" s="175"/>
      <c r="S45" s="176"/>
      <c r="T45" s="179"/>
      <c r="U45" s="191">
        <f>IF(N45&lt;&gt;"",CONCATENATE(VLOOKUP(N45,'[1]zawodnicy'!$A:$E,1,FALSE)," ",VLOOKUP(N45,'[1]zawodnicy'!$A:$E,2,FALSE)," ",VLOOKUP(N45,'[1]zawodnicy'!$A:$E,3,FALSE)," - ",VLOOKUP(N45,'[1]zawodnicy'!$A:$E,4,FALSE)),"")</f>
      </c>
      <c r="V45" s="192"/>
      <c r="W45" s="32"/>
      <c r="X45" s="36">
        <f>IF(SUM(AR48:AS48)=0,"",AR48&amp;":"&amp;AS48)</f>
      </c>
      <c r="Y45" s="37">
        <f>IF(SUM(AR46:AS46)=0,"",AR46&amp;":"&amp;AS46)</f>
      </c>
      <c r="Z45" s="179"/>
      <c r="AA45" s="184"/>
      <c r="AB45" s="184"/>
      <c r="AC45" s="187"/>
      <c r="AD45" s="2"/>
      <c r="AE45" s="22"/>
      <c r="AF45" s="22"/>
      <c r="AG45" s="28"/>
      <c r="AH45" s="193" t="s">
        <v>13</v>
      </c>
      <c r="AI45" s="194"/>
      <c r="AJ45" s="195" t="s">
        <v>14</v>
      </c>
      <c r="AK45" s="194"/>
      <c r="AL45" s="195" t="s">
        <v>15</v>
      </c>
      <c r="AM45" s="196"/>
      <c r="AN45" s="193" t="s">
        <v>13</v>
      </c>
      <c r="AO45" s="194"/>
      <c r="AP45" s="195" t="s">
        <v>14</v>
      </c>
      <c r="AQ45" s="194"/>
      <c r="AR45" s="195" t="s">
        <v>15</v>
      </c>
      <c r="AS45" s="194"/>
      <c r="AT45" s="22"/>
      <c r="AU45" s="22"/>
      <c r="AV45" s="193">
        <v>1</v>
      </c>
      <c r="AW45" s="194"/>
      <c r="AX45" s="195">
        <v>2</v>
      </c>
      <c r="AY45" s="194"/>
      <c r="AZ45" s="195">
        <v>3</v>
      </c>
      <c r="BA45" s="196"/>
      <c r="BD45" s="193" t="s">
        <v>4</v>
      </c>
      <c r="BE45" s="196"/>
      <c r="BF45" s="193" t="s">
        <v>5</v>
      </c>
      <c r="BG45" s="196"/>
      <c r="BH45" s="193" t="s">
        <v>6</v>
      </c>
      <c r="BI45" s="196"/>
      <c r="BJ45" s="38" t="s">
        <v>7</v>
      </c>
      <c r="BK45" s="13">
        <f>SUM(BK46:BK48)</f>
        <v>-1.6696713456276768E-16</v>
      </c>
    </row>
    <row r="46" spans="1:63" ht="11.25" customHeight="1">
      <c r="A46" s="12">
        <f>S46</f>
        <v>4</v>
      </c>
      <c r="B46" s="2" t="str">
        <f>IF(N44="","",N44)</f>
        <v>S0020</v>
      </c>
      <c r="C46" s="2">
        <f>IF(N45="","",N45)</f>
      </c>
      <c r="D46" s="2" t="str">
        <f>IF(N50="","",N50)</f>
        <v>B0015</v>
      </c>
      <c r="E46" s="2">
        <f>IF(N51="","",N51)</f>
      </c>
      <c r="I46" s="2" t="str">
        <f>"2"&amp;O42&amp;N43</f>
        <v>24Runners Up</v>
      </c>
      <c r="J46" s="29" t="str">
        <f>IF(AC46="","",IF(AC43=2,N44,IF(AC46=2,N47,IF(AC49=2,N50,""))))</f>
        <v>B0015</v>
      </c>
      <c r="K46" s="29">
        <f>IF(AC46="","",IF(AC43=2,N45,IF(AC46=2,N48,IF(AC49=2,N51,""))))</f>
        <v>0</v>
      </c>
      <c r="M46" s="39" t="str">
        <f>N43</f>
        <v>Runners Up</v>
      </c>
      <c r="O46" s="23"/>
      <c r="P46" s="23"/>
      <c r="Q46" s="40">
        <f>IF(AT46&gt;0,"",IF(A46=0,"",IF(VLOOKUP(A46,'[1]plan gier'!A:S,19,FALSE)="","",VLOOKUP(A46,'[1]plan gier'!A:S,19,FALSE))))</f>
      </c>
      <c r="R46" s="41" t="s">
        <v>16</v>
      </c>
      <c r="S46" s="42">
        <v>4</v>
      </c>
      <c r="T46" s="197">
        <v>2</v>
      </c>
      <c r="U46" s="198">
        <f>IF(AND(N47&lt;&gt;"",N48&lt;&gt;""),CONCATENATE(VLOOKUP(N47,'[1]zawodnicy'!$A:$E,1,FALSE)," ",VLOOKUP(N47,'[1]zawodnicy'!$A:$E,2,FALSE)," ",VLOOKUP(N47,'[1]zawodnicy'!$A:$E,3,FALSE)," - ",VLOOKUP(N47,'[1]zawodnicy'!$A:$E,4,FALSE)),"")</f>
      </c>
      <c r="V46" s="199"/>
      <c r="W46" s="43" t="str">
        <f>IF(SUM(AN48:AO48)=0,"",AO48&amp;":"&amp;AN48)</f>
        <v>11:21</v>
      </c>
      <c r="X46" s="44"/>
      <c r="Y46" s="45" t="str">
        <f>IF(SUM(AN47:AO47)=0,"",AN47&amp;":"&amp;AO47)</f>
        <v>6:21</v>
      </c>
      <c r="Z46" s="197" t="str">
        <f>IF(SUM(AV47:AW47,AZ47:BA47)=0,"",BD47&amp;":"&amp;BE47)</f>
        <v>29:84</v>
      </c>
      <c r="AA46" s="200" t="str">
        <f>IF(SUM(AV47:AW47,AZ47:BA47)=0,"",BF47&amp;":"&amp;BG47)</f>
        <v>0:4</v>
      </c>
      <c r="AB46" s="200" t="str">
        <f>IF(SUM(AV47:AW47,AZ47:BA47)=0,"",BH47&amp;":"&amp;BI47)</f>
        <v>0:2</v>
      </c>
      <c r="AC46" s="201">
        <f>IF(SUM(BH46:BH48)&gt;0,BJ47,"")</f>
        <v>3</v>
      </c>
      <c r="AD46" s="2"/>
      <c r="AE46" s="22"/>
      <c r="AF46" s="22"/>
      <c r="AG46" s="41" t="s">
        <v>16</v>
      </c>
      <c r="AH46" s="46">
        <f>IF(ISBLANK(S46),"",VLOOKUP(S46,'[1]plan gier'!$X:$AN,12,FALSE))</f>
        <v>21</v>
      </c>
      <c r="AI46" s="47">
        <f>IF(ISBLANK(S46),"",VLOOKUP(S46,'[1]plan gier'!$X:$AN,13,FALSE))</f>
        <v>8</v>
      </c>
      <c r="AJ46" s="47">
        <f>IF(ISBLANK(S46),"",VLOOKUP(S46,'[1]plan gier'!$X:$AN,14,FALSE))</f>
        <v>21</v>
      </c>
      <c r="AK46" s="47">
        <f>IF(ISBLANK(S46),"",VLOOKUP(S46,'[1]plan gier'!$X:$AN,15,FALSE))</f>
        <v>8</v>
      </c>
      <c r="AL46" s="47">
        <f>IF(ISBLANK(S46),"",VLOOKUP(S46,'[1]plan gier'!$X:$AN,16,FALSE))</f>
        <v>0</v>
      </c>
      <c r="AM46" s="47">
        <f>IF(ISBLANK(S46),"",VLOOKUP(S46,'[1]plan gier'!$X:$AN,17,FALSE))</f>
        <v>0</v>
      </c>
      <c r="AN46" s="48">
        <f aca="true" t="shared" si="6" ref="AN46:AS48">IF(AH46="",0,AH46)</f>
        <v>21</v>
      </c>
      <c r="AO46" s="49">
        <f t="shared" si="6"/>
        <v>8</v>
      </c>
      <c r="AP46" s="50">
        <f t="shared" si="6"/>
        <v>21</v>
      </c>
      <c r="AQ46" s="49">
        <f t="shared" si="6"/>
        <v>8</v>
      </c>
      <c r="AR46" s="50">
        <f t="shared" si="6"/>
        <v>0</v>
      </c>
      <c r="AS46" s="49">
        <f t="shared" si="6"/>
        <v>0</v>
      </c>
      <c r="AT46" s="51">
        <f>SUM(AN46:AS46)</f>
        <v>58</v>
      </c>
      <c r="AU46" s="52">
        <v>1</v>
      </c>
      <c r="AV46" s="53"/>
      <c r="AW46" s="54"/>
      <c r="AX46" s="47">
        <f>IF(AH48&gt;AI48,1,0)+IF(AJ48&gt;AK48,1,0)+IF(AL48&gt;AM48,1,0)</f>
        <v>2</v>
      </c>
      <c r="AY46" s="47">
        <f>AV47</f>
        <v>0</v>
      </c>
      <c r="AZ46" s="47">
        <f>IF(AH46&gt;AI46,1,0)+IF(AJ46&gt;AK46,1,0)+IF(AL46&gt;AM46,1,0)</f>
        <v>2</v>
      </c>
      <c r="BA46" s="55">
        <f>AV48</f>
        <v>0</v>
      </c>
      <c r="BD46" s="46">
        <f>AN46+AP46+AR46+AN48+AP48+AR48</f>
        <v>84</v>
      </c>
      <c r="BE46" s="55">
        <f>AO46+AQ46+AS46+AO48+AQ48+AS48</f>
        <v>34</v>
      </c>
      <c r="BF46" s="46">
        <f>AX46+AZ46</f>
        <v>4</v>
      </c>
      <c r="BG46" s="55">
        <f>AY46+BA46</f>
        <v>0</v>
      </c>
      <c r="BH46" s="46">
        <f>IF(AX46&gt;AY46,1,0)+IF(AZ46&gt;BA46,1,0)</f>
        <v>2</v>
      </c>
      <c r="BI46" s="56">
        <f>IF(AY46&gt;AX46,1,0)+IF(BA46&gt;AZ46,1,0)</f>
        <v>0</v>
      </c>
      <c r="BJ46" s="57">
        <f>IF(BH46+BI46=0,"",IF(BK46=MAX(BK46:BK48),1,IF(BK46=MIN(BK46:BK48),3,2)))</f>
        <v>1</v>
      </c>
      <c r="BK46" s="13">
        <f>IF(BH46+BI46&lt;&gt;0,BH46-BI46+(BF46-BG46)/100+(BD46-BE46)/10000,-2)</f>
        <v>2.045</v>
      </c>
    </row>
    <row r="47" spans="1:63" ht="11.25" customHeight="1">
      <c r="A47" s="12">
        <f>S47</f>
        <v>9</v>
      </c>
      <c r="B47" s="2" t="str">
        <f>IF(N47="","",N47)</f>
        <v>S0034</v>
      </c>
      <c r="C47" s="2">
        <f>IF(N48="","",N48)</f>
      </c>
      <c r="D47" s="2" t="str">
        <f>IF(N50="","",N50)</f>
        <v>B0015</v>
      </c>
      <c r="E47" s="2">
        <f>IF(N51="","",N51)</f>
      </c>
      <c r="J47" s="29"/>
      <c r="K47" s="12"/>
      <c r="M47" s="39" t="str">
        <f>N43</f>
        <v>Runners Up</v>
      </c>
      <c r="N47" s="30" t="s">
        <v>32</v>
      </c>
      <c r="O47" s="31">
        <f>IF(O42&gt;0,(O42&amp;2)*1,"")</f>
        <v>42</v>
      </c>
      <c r="Q47" s="40">
        <f>IF(AT47&gt;0,"",IF(A47=0,"",IF(VLOOKUP(A47,'[1]plan gier'!A:S,19,FALSE)="","",VLOOKUP(A47,'[1]plan gier'!A:S,19,FALSE))))</f>
      </c>
      <c r="R47" s="41" t="s">
        <v>18</v>
      </c>
      <c r="S47" s="42">
        <v>9</v>
      </c>
      <c r="T47" s="178"/>
      <c r="U47" s="189" t="str">
        <f>IF(AND(N47&lt;&gt;"",N48=""),CONCATENATE(VLOOKUP(N47,'[1]zawodnicy'!$A:$E,1,FALSE)," ",VLOOKUP(N47,'[1]zawodnicy'!$A:$E,2,FALSE)," ",VLOOKUP(N47,'[1]zawodnicy'!$A:$E,3,FALSE)," - ",VLOOKUP(N47,'[1]zawodnicy'!$A:$E,4,FALSE)),"")</f>
        <v>S0034 Jakub SITEK - Rzeszów</v>
      </c>
      <c r="V47" s="190"/>
      <c r="W47" s="58" t="str">
        <f>IF(SUM(AP48:AQ48)=0,"",AQ48&amp;":"&amp;AP48)</f>
        <v>7:21</v>
      </c>
      <c r="X47" s="59"/>
      <c r="Y47" s="34" t="str">
        <f>IF(SUM(AP47:AQ47)=0,"",AP47&amp;":"&amp;AQ47)</f>
        <v>5:21</v>
      </c>
      <c r="Z47" s="178"/>
      <c r="AA47" s="183"/>
      <c r="AB47" s="183"/>
      <c r="AC47" s="186"/>
      <c r="AD47" s="2"/>
      <c r="AE47" s="22"/>
      <c r="AF47" s="22"/>
      <c r="AG47" s="41" t="s">
        <v>18</v>
      </c>
      <c r="AH47" s="60">
        <f>IF(ISBLANK(S47),"",VLOOKUP(S47,'[1]plan gier'!$X:$AN,12,FALSE))</f>
        <v>6</v>
      </c>
      <c r="AI47" s="61">
        <f>IF(ISBLANK(S47),"",VLOOKUP(S47,'[1]plan gier'!$X:$AN,13,FALSE))</f>
        <v>21</v>
      </c>
      <c r="AJ47" s="61">
        <f>IF(ISBLANK(S47),"",VLOOKUP(S47,'[1]plan gier'!$X:$AN,14,FALSE))</f>
        <v>5</v>
      </c>
      <c r="AK47" s="61">
        <f>IF(ISBLANK(S47),"",VLOOKUP(S47,'[1]plan gier'!$X:$AN,15,FALSE))</f>
        <v>21</v>
      </c>
      <c r="AL47" s="61">
        <f>IF(ISBLANK(S47),"",VLOOKUP(S47,'[1]plan gier'!$X:$AN,16,FALSE))</f>
        <v>0</v>
      </c>
      <c r="AM47" s="61">
        <f>IF(ISBLANK(S47),"",VLOOKUP(S47,'[1]plan gier'!$X:$AN,17,FALSE))</f>
        <v>0</v>
      </c>
      <c r="AN47" s="62">
        <f t="shared" si="6"/>
        <v>6</v>
      </c>
      <c r="AO47" s="61">
        <f t="shared" si="6"/>
        <v>21</v>
      </c>
      <c r="AP47" s="63">
        <f t="shared" si="6"/>
        <v>5</v>
      </c>
      <c r="AQ47" s="61">
        <f t="shared" si="6"/>
        <v>21</v>
      </c>
      <c r="AR47" s="63">
        <f t="shared" si="6"/>
        <v>0</v>
      </c>
      <c r="AS47" s="61">
        <f t="shared" si="6"/>
        <v>0</v>
      </c>
      <c r="AT47" s="51">
        <f>SUM(AN47:AS47)</f>
        <v>53</v>
      </c>
      <c r="AU47" s="52">
        <v>2</v>
      </c>
      <c r="AV47" s="60">
        <f>IF(AH48&lt;AI48,1,0)+IF(AJ48&lt;AK48,1,0)+IF(AL48&lt;AM48,1,0)</f>
        <v>0</v>
      </c>
      <c r="AW47" s="61">
        <f>AX46</f>
        <v>2</v>
      </c>
      <c r="AX47" s="64"/>
      <c r="AY47" s="65"/>
      <c r="AZ47" s="61">
        <f>IF(AH47&gt;AI47,1,0)+IF(AJ47&gt;AK47,1,0)+IF(AL47&gt;AM47,1,0)</f>
        <v>0</v>
      </c>
      <c r="BA47" s="66">
        <f>AX48</f>
        <v>2</v>
      </c>
      <c r="BD47" s="60">
        <f>AN47+AP47+AR47+AO48+AQ48+AS48</f>
        <v>29</v>
      </c>
      <c r="BE47" s="66">
        <f>AO47+AQ47+AS47+AN48+AP48+AR48</f>
        <v>84</v>
      </c>
      <c r="BF47" s="60">
        <f>AV47+AZ47</f>
        <v>0</v>
      </c>
      <c r="BG47" s="66">
        <f>AW47+BA47</f>
        <v>4</v>
      </c>
      <c r="BH47" s="60">
        <f>IF(AV47&gt;AW47,1,0)+IF(AZ47&gt;BA47,1,0)</f>
        <v>0</v>
      </c>
      <c r="BI47" s="67">
        <f>IF(AW47&gt;AV47,1,0)+IF(BA47&gt;AZ47,1,0)</f>
        <v>2</v>
      </c>
      <c r="BJ47" s="68">
        <f>IF(BH47+BI47=0,"",IF(BK47=MAX(BK46:BK48),1,IF(BK47=MIN(BK46:BK48),3,2)))</f>
        <v>3</v>
      </c>
      <c r="BK47" s="13">
        <f>IF(BH47+BI47&lt;&gt;0,BH47-BI47+(BF47-BG47)/100+(BD47-BE47)/10000,-2)</f>
        <v>-2.0455</v>
      </c>
    </row>
    <row r="48" spans="1:63" ht="11.25" customHeight="1" thickBot="1">
      <c r="A48" s="12">
        <f>S48</f>
        <v>14</v>
      </c>
      <c r="B48" s="2" t="str">
        <f>IF(N44="","",N44)</f>
        <v>S0020</v>
      </c>
      <c r="C48" s="2">
        <f>IF(N45="","",N45)</f>
      </c>
      <c r="D48" s="2" t="str">
        <f>IF(N47="","",N47)</f>
        <v>S0034</v>
      </c>
      <c r="E48" s="2">
        <f>IF(N48="","",N48)</f>
      </c>
      <c r="I48" s="2" t="str">
        <f>"3"&amp;O42&amp;N43</f>
        <v>34Runners Up</v>
      </c>
      <c r="J48" s="29" t="str">
        <f>IF(AC49="","",IF(AC43=3,N44,IF(AC46=3,N47,IF(AC49=3,N50,""))))</f>
        <v>S0034</v>
      </c>
      <c r="K48" s="29">
        <f>IF(AC49="","",IF(AC43=3,N45,IF(AC46=3,N48,IF(AC49=3,N51,""))))</f>
        <v>0</v>
      </c>
      <c r="M48" s="39" t="str">
        <f>N43</f>
        <v>Runners Up</v>
      </c>
      <c r="N48" s="35"/>
      <c r="O48" s="23"/>
      <c r="P48" s="23"/>
      <c r="Q48" s="40">
        <f>IF(AT48&gt;0,"",IF(A48=0,"",IF(VLOOKUP(A48,'[1]plan gier'!A:S,19,FALSE)="","",VLOOKUP(A48,'[1]plan gier'!A:S,19,FALSE))))</f>
      </c>
      <c r="R48" s="69" t="s">
        <v>19</v>
      </c>
      <c r="S48" s="42">
        <v>14</v>
      </c>
      <c r="T48" s="179"/>
      <c r="U48" s="191">
        <f>IF(N48&lt;&gt;"",CONCATENATE(VLOOKUP(N48,'[1]zawodnicy'!$A:$E,1,FALSE)," ",VLOOKUP(N48,'[1]zawodnicy'!$A:$E,2,FALSE)," ",VLOOKUP(N48,'[1]zawodnicy'!$A:$E,3,FALSE)," - ",VLOOKUP(N48,'[1]zawodnicy'!$A:$E,4,FALSE)),"")</f>
      </c>
      <c r="V48" s="192"/>
      <c r="W48" s="70">
        <f>IF(SUM(AR48:AS48)=0,"",AS48&amp;":"&amp;AR48)</f>
      </c>
      <c r="X48" s="59"/>
      <c r="Y48" s="37">
        <f>IF(SUM(AR47:AS47)=0,"",AR47&amp;":"&amp;AS47)</f>
      </c>
      <c r="Z48" s="179"/>
      <c r="AA48" s="184"/>
      <c r="AB48" s="184"/>
      <c r="AC48" s="187"/>
      <c r="AD48" s="2"/>
      <c r="AE48" s="22"/>
      <c r="AF48" s="22"/>
      <c r="AG48" s="69" t="s">
        <v>19</v>
      </c>
      <c r="AH48" s="71">
        <f>IF(ISBLANK(S48),"",VLOOKUP(S48,'[1]plan gier'!$X:$AN,12,FALSE))</f>
        <v>21</v>
      </c>
      <c r="AI48" s="72">
        <f>IF(ISBLANK(S48),"",VLOOKUP(S48,'[1]plan gier'!$X:$AN,13,FALSE))</f>
        <v>11</v>
      </c>
      <c r="AJ48" s="72">
        <f>IF(ISBLANK(S48),"",VLOOKUP(S48,'[1]plan gier'!$X:$AN,14,FALSE))</f>
        <v>21</v>
      </c>
      <c r="AK48" s="72">
        <f>IF(ISBLANK(S48),"",VLOOKUP(S48,'[1]plan gier'!$X:$AN,15,FALSE))</f>
        <v>7</v>
      </c>
      <c r="AL48" s="72">
        <f>IF(ISBLANK(S48),"",VLOOKUP(S48,'[1]plan gier'!$X:$AN,16,FALSE))</f>
        <v>0</v>
      </c>
      <c r="AM48" s="72">
        <f>IF(ISBLANK(S48),"",VLOOKUP(S48,'[1]plan gier'!$X:$AN,17,FALSE))</f>
        <v>0</v>
      </c>
      <c r="AN48" s="73">
        <f t="shared" si="6"/>
        <v>21</v>
      </c>
      <c r="AO48" s="72">
        <f t="shared" si="6"/>
        <v>11</v>
      </c>
      <c r="AP48" s="74">
        <f t="shared" si="6"/>
        <v>21</v>
      </c>
      <c r="AQ48" s="72">
        <f t="shared" si="6"/>
        <v>7</v>
      </c>
      <c r="AR48" s="74">
        <f t="shared" si="6"/>
        <v>0</v>
      </c>
      <c r="AS48" s="72">
        <f t="shared" si="6"/>
        <v>0</v>
      </c>
      <c r="AT48" s="51">
        <f>SUM(AN48:AS48)</f>
        <v>60</v>
      </c>
      <c r="AU48" s="52">
        <v>3</v>
      </c>
      <c r="AV48" s="71">
        <f>IF(AH46&lt;AI46,1,0)+IF(AJ46&lt;AK46,1,0)+IF(AL46&lt;AM46,1,0)</f>
        <v>0</v>
      </c>
      <c r="AW48" s="72">
        <f>AZ46</f>
        <v>2</v>
      </c>
      <c r="AX48" s="72">
        <f>IF(AH47&lt;AI47,1,0)+IF(AJ47&lt;AK47,1,0)+IF(AL47&lt;AM47,1,0)</f>
        <v>2</v>
      </c>
      <c r="AY48" s="72">
        <f>AZ47</f>
        <v>0</v>
      </c>
      <c r="AZ48" s="75"/>
      <c r="BA48" s="76"/>
      <c r="BD48" s="71">
        <f>AO46+AQ46+AS46+AO47+AQ47+AS47</f>
        <v>58</v>
      </c>
      <c r="BE48" s="77">
        <f>AN46+AP46+AR46+AN47+AP47+AR47</f>
        <v>53</v>
      </c>
      <c r="BF48" s="71">
        <f>AV48+AX48</f>
        <v>2</v>
      </c>
      <c r="BG48" s="77">
        <f>AW48+AY48</f>
        <v>2</v>
      </c>
      <c r="BH48" s="71">
        <f>IF(AV48&gt;AW48,1,0)+IF(AX48&gt;AY48,1,0)</f>
        <v>1</v>
      </c>
      <c r="BI48" s="78">
        <f>IF(AW48&gt;AV48,1,0)+IF(AY48&gt;AX48,1,0)</f>
        <v>1</v>
      </c>
      <c r="BJ48" s="79">
        <f>IF(BH48+BI48=0,"",IF(BK48=MAX(BK46:BK48),1,IF(BK48=MIN(BK46:BK48),3,2)))</f>
        <v>2</v>
      </c>
      <c r="BK48" s="13">
        <f>IF(BH48+BI48&lt;&gt;0,BH48-BI48+(BF48-BG48)/100+(BD48-BE48)/10000,-2)</f>
        <v>0.0005</v>
      </c>
    </row>
    <row r="49" spans="1:59" ht="11.25" customHeight="1">
      <c r="A49" s="2"/>
      <c r="J49" s="23"/>
      <c r="K49" s="23"/>
      <c r="L49" s="23"/>
      <c r="O49" s="23"/>
      <c r="P49" s="23"/>
      <c r="Q49" s="2"/>
      <c r="R49" s="2"/>
      <c r="S49" s="2"/>
      <c r="T49" s="197">
        <v>3</v>
      </c>
      <c r="U49" s="198">
        <f>IF(AND(N50&lt;&gt;"",N51&lt;&gt;""),CONCATENATE(VLOOKUP(N50,'[1]zawodnicy'!$A:$E,1,FALSE)," ",VLOOKUP(N50,'[1]zawodnicy'!$A:$E,2,FALSE)," ",VLOOKUP(N50,'[1]zawodnicy'!$A:$E,3,FALSE)," - ",VLOOKUP(N50,'[1]zawodnicy'!$A:$E,4,FALSE)),"")</f>
      </c>
      <c r="V49" s="199"/>
      <c r="W49" s="43" t="str">
        <f>IF(SUM(AN46:AO46)=0,"",AO46&amp;":"&amp;AN46)</f>
        <v>8:21</v>
      </c>
      <c r="X49" s="80" t="str">
        <f>IF(SUM(AN47:AO47)=0,"",AO47&amp;":"&amp;AN47)</f>
        <v>21:6</v>
      </c>
      <c r="Y49" s="81"/>
      <c r="Z49" s="197" t="str">
        <f>IF(SUM(AV48:AY48)=0,"",BD48&amp;":"&amp;BE48)</f>
        <v>58:53</v>
      </c>
      <c r="AA49" s="200" t="str">
        <f>IF(SUM(AV48:AY48)=0,"",BF48&amp;":"&amp;BG48)</f>
        <v>2:2</v>
      </c>
      <c r="AB49" s="200" t="str">
        <f>IF(SUM(AV48:AY48)=0,"",BH48&amp;":"&amp;BI48)</f>
        <v>1:1</v>
      </c>
      <c r="AC49" s="201">
        <f>IF(SUM(BH46:BH48)&gt;0,BJ48,"")</f>
        <v>2</v>
      </c>
      <c r="AD49" s="2"/>
      <c r="AE49" s="22"/>
      <c r="AF49" s="22"/>
      <c r="BD49" s="12">
        <f>SUM(BD46:BD48)</f>
        <v>171</v>
      </c>
      <c r="BE49" s="12">
        <f>SUM(BE46:BE48)</f>
        <v>171</v>
      </c>
      <c r="BF49" s="12">
        <f>SUM(BF46:BF48)</f>
        <v>6</v>
      </c>
      <c r="BG49" s="12">
        <f>SUM(BG46:BG48)</f>
        <v>6</v>
      </c>
    </row>
    <row r="50" spans="1:63" ht="11.25" customHeight="1">
      <c r="A50" s="12"/>
      <c r="J50" s="12"/>
      <c r="K50" s="12"/>
      <c r="L50" s="12"/>
      <c r="N50" s="30" t="s">
        <v>33</v>
      </c>
      <c r="O50" s="31">
        <f>IF(O42&gt;0,(O42&amp;3)*1,"")</f>
        <v>43</v>
      </c>
      <c r="Q50" s="82"/>
      <c r="R50" s="82"/>
      <c r="S50" s="42"/>
      <c r="T50" s="178"/>
      <c r="U50" s="189" t="str">
        <f>IF(AND(N50&lt;&gt;"",N51=""),CONCATENATE(VLOOKUP(N50,'[1]zawodnicy'!$A:$E,1,FALSE)," ",VLOOKUP(N50,'[1]zawodnicy'!$A:$E,2,FALSE)," ",VLOOKUP(N50,'[1]zawodnicy'!$A:$E,3,FALSE)," - ",VLOOKUP(N50,'[1]zawodnicy'!$A:$E,4,FALSE)),"")</f>
        <v>B0015 Tomasz BARAN - Krosno</v>
      </c>
      <c r="V50" s="190"/>
      <c r="W50" s="58" t="str">
        <f>IF(SUM(AP46:AQ46)=0,"",AQ46&amp;":"&amp;AP46)</f>
        <v>8:21</v>
      </c>
      <c r="X50" s="33" t="str">
        <f>IF(SUM(AP47:AQ47)=0,"",AQ47&amp;":"&amp;AP47)</f>
        <v>21:5</v>
      </c>
      <c r="Y50" s="83"/>
      <c r="Z50" s="178"/>
      <c r="AA50" s="183"/>
      <c r="AB50" s="183"/>
      <c r="AC50" s="186"/>
      <c r="AD50" s="2"/>
      <c r="AE50" s="22"/>
      <c r="AF50" s="2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63" ht="11.25" customHeight="1" thickBot="1">
      <c r="A51" s="2"/>
      <c r="J51" s="23"/>
      <c r="K51" s="23"/>
      <c r="L51" s="23"/>
      <c r="N51" s="35"/>
      <c r="O51" s="23"/>
      <c r="P51" s="23"/>
      <c r="Q51" s="2"/>
      <c r="R51" s="2"/>
      <c r="S51" s="2"/>
      <c r="T51" s="202"/>
      <c r="U51" s="205">
        <f>IF(N51&lt;&gt;"",CONCATENATE(VLOOKUP(N51,'[1]zawodnicy'!$A:$E,1,FALSE)," ",VLOOKUP(N51,'[1]zawodnicy'!$A:$E,2,FALSE)," ",VLOOKUP(N51,'[1]zawodnicy'!$A:$E,3,FALSE)," - ",VLOOKUP(N51,'[1]zawodnicy'!$A:$E,4,FALSE)),"")</f>
      </c>
      <c r="V51" s="206"/>
      <c r="W51" s="84">
        <f>IF(SUM(AR46:AS46)=0,"",AS46&amp;":"&amp;AR46)</f>
      </c>
      <c r="X51" s="85">
        <f>IF(SUM(AR47:AS47)=0,"",AS47&amp;":"&amp;AR47)</f>
      </c>
      <c r="Y51" s="86"/>
      <c r="Z51" s="202"/>
      <c r="AA51" s="203"/>
      <c r="AB51" s="203"/>
      <c r="AC51" s="204"/>
      <c r="AD51" s="29"/>
      <c r="AE51" s="22"/>
      <c r="AF51" s="2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ht="11.25" customHeight="1" thickBot="1"/>
    <row r="53" spans="14:32" ht="11.25" customHeight="1" thickBot="1">
      <c r="N53" s="8"/>
      <c r="O53" s="14">
        <v>5</v>
      </c>
      <c r="Q53" s="171" t="str">
        <f>"Grupa "&amp;O53&amp;"."</f>
        <v>Grupa 5.</v>
      </c>
      <c r="R53" s="171"/>
      <c r="S53" s="172"/>
      <c r="T53" s="15" t="s">
        <v>2</v>
      </c>
      <c r="U53" s="173" t="s">
        <v>3</v>
      </c>
      <c r="V53" s="174"/>
      <c r="W53" s="15">
        <v>1</v>
      </c>
      <c r="X53" s="17">
        <v>2</v>
      </c>
      <c r="Y53" s="18">
        <v>3</v>
      </c>
      <c r="Z53" s="19" t="s">
        <v>4</v>
      </c>
      <c r="AA53" s="20" t="s">
        <v>5</v>
      </c>
      <c r="AB53" s="20" t="s">
        <v>6</v>
      </c>
      <c r="AC53" s="21" t="s">
        <v>7</v>
      </c>
      <c r="AD53" s="2"/>
      <c r="AE53" s="22"/>
      <c r="AF53" s="22"/>
    </row>
    <row r="54" spans="10:45" ht="11.25" customHeight="1">
      <c r="J54" s="23"/>
      <c r="K54" s="23"/>
      <c r="L54" s="23"/>
      <c r="N54" s="24" t="s">
        <v>1</v>
      </c>
      <c r="Q54" s="175" t="s">
        <v>8</v>
      </c>
      <c r="R54" s="175"/>
      <c r="S54" s="176" t="s">
        <v>9</v>
      </c>
      <c r="T54" s="177">
        <v>1</v>
      </c>
      <c r="U54" s="180">
        <f>IF(AND(N55&lt;&gt;"",N56&lt;&gt;""),CONCATENATE(VLOOKUP(N55,'[1]zawodnicy'!$A:$E,1,FALSE)," ",VLOOKUP(N55,'[1]zawodnicy'!$A:$E,2,FALSE)," ",VLOOKUP(N55,'[1]zawodnicy'!$A:$E,3,FALSE)," - ",VLOOKUP(N55,'[1]zawodnicy'!$A:$E,4,FALSE)),"")</f>
      </c>
      <c r="V54" s="181"/>
      <c r="W54" s="25"/>
      <c r="X54" s="26" t="str">
        <f>IF(SUM(AN59:AO59)=0,"",AN59&amp;":"&amp;AO59)</f>
        <v>21:4</v>
      </c>
      <c r="Y54" s="27" t="str">
        <f>IF(SUM(AN57:AO57)=0,"",AN57&amp;":"&amp;AO57)</f>
        <v>13:21</v>
      </c>
      <c r="Z54" s="177" t="str">
        <f>IF(SUM(AX57:BA57)=0,"",BD57&amp;":"&amp;BE57)</f>
        <v>64:53</v>
      </c>
      <c r="AA54" s="182" t="str">
        <f>IF(SUM(AX57:BA57)=0,"",BF57&amp;":"&amp;BG57)</f>
        <v>2:2</v>
      </c>
      <c r="AB54" s="182" t="str">
        <f>IF(SUM(AX57:BA57)=0,"",BH57&amp;":"&amp;BI57)</f>
        <v>1:1</v>
      </c>
      <c r="AC54" s="185">
        <f>IF(SUM(BH57:BH59)&gt;0,BJ57,"")</f>
        <v>2</v>
      </c>
      <c r="AD54" s="2"/>
      <c r="AE54" s="22"/>
      <c r="AF54" s="22"/>
      <c r="AG54" s="28"/>
      <c r="AH54" s="188" t="s">
        <v>10</v>
      </c>
      <c r="AI54" s="188"/>
      <c r="AJ54" s="188"/>
      <c r="AK54" s="188"/>
      <c r="AL54" s="188"/>
      <c r="AM54" s="188"/>
      <c r="AN54" s="188" t="s">
        <v>11</v>
      </c>
      <c r="AO54" s="188"/>
      <c r="AP54" s="188"/>
      <c r="AQ54" s="188"/>
      <c r="AR54" s="188"/>
      <c r="AS54" s="188"/>
    </row>
    <row r="55" spans="9:59" ht="11.25" customHeight="1" thickBot="1">
      <c r="I55" s="2" t="str">
        <f>"1"&amp;O53&amp;N54</f>
        <v>15Runners Up</v>
      </c>
      <c r="J55" s="29" t="str">
        <f>IF(AC54="","",IF(AC54=1,N55,IF(AC57=1,N58,IF(AC60=1,N61,""))))</f>
        <v>M0023</v>
      </c>
      <c r="K55" s="29">
        <f>IF(AC54="","",IF(AC54=1,N56,IF(AC57=1,N59,IF(AC60=1,N62,""))))</f>
        <v>0</v>
      </c>
      <c r="L55" s="29"/>
      <c r="N55" s="30" t="s">
        <v>34</v>
      </c>
      <c r="O55" s="31">
        <f>IF(O53&gt;0,(O53&amp;1)*1,"")</f>
        <v>51</v>
      </c>
      <c r="Q55" s="175"/>
      <c r="R55" s="175"/>
      <c r="S55" s="176"/>
      <c r="T55" s="178"/>
      <c r="U55" s="189" t="str">
        <f>IF(AND(N55&lt;&gt;"",N56=""),CONCATENATE(VLOOKUP(N55,'[1]zawodnicy'!$A:$E,1,FALSE)," ",VLOOKUP(N55,'[1]zawodnicy'!$A:$E,2,FALSE)," ",VLOOKUP(N55,'[1]zawodnicy'!$A:$E,3,FALSE)," - ",VLOOKUP(N55,'[1]zawodnicy'!$A:$E,4,FALSE)),"")</f>
        <v>M0008 Tadeusz MICHALIK - Tarnów</v>
      </c>
      <c r="V55" s="190"/>
      <c r="W55" s="32"/>
      <c r="X55" s="33" t="str">
        <f>IF(SUM(AP59:AQ59)=0,"",AP59&amp;":"&amp;AQ59)</f>
        <v>21:7</v>
      </c>
      <c r="Y55" s="34" t="str">
        <f>IF(SUM(AP57:AQ57)=0,"",AP57&amp;":"&amp;AQ57)</f>
        <v>9:21</v>
      </c>
      <c r="Z55" s="178"/>
      <c r="AA55" s="183"/>
      <c r="AB55" s="183"/>
      <c r="AC55" s="186"/>
      <c r="AD55" s="2"/>
      <c r="AE55" s="22"/>
      <c r="AF55" s="22"/>
      <c r="AG55" s="28"/>
      <c r="BD55" s="12">
        <f>SUM(BD57:BD59)</f>
        <v>163</v>
      </c>
      <c r="BE55" s="12">
        <f>SUM(BE57:BE59)</f>
        <v>163</v>
      </c>
      <c r="BF55" s="12">
        <f>SUM(BF57:BF59)</f>
        <v>6</v>
      </c>
      <c r="BG55" s="12">
        <f>SUM(BG57:BG59)</f>
        <v>6</v>
      </c>
    </row>
    <row r="56" spans="10:63" ht="11.25" customHeight="1" thickBot="1">
      <c r="J56" s="29"/>
      <c r="K56" s="23"/>
      <c r="L56" s="23"/>
      <c r="N56" s="35"/>
      <c r="O56" s="23"/>
      <c r="P56" s="23"/>
      <c r="Q56" s="175"/>
      <c r="R56" s="175"/>
      <c r="S56" s="176"/>
      <c r="T56" s="179"/>
      <c r="U56" s="191">
        <f>IF(N56&lt;&gt;"",CONCATENATE(VLOOKUP(N56,'[1]zawodnicy'!$A:$E,1,FALSE)," ",VLOOKUP(N56,'[1]zawodnicy'!$A:$E,2,FALSE)," ",VLOOKUP(N56,'[1]zawodnicy'!$A:$E,3,FALSE)," - ",VLOOKUP(N56,'[1]zawodnicy'!$A:$E,4,FALSE)),"")</f>
      </c>
      <c r="V56" s="192"/>
      <c r="W56" s="32"/>
      <c r="X56" s="36">
        <f>IF(SUM(AR59:AS59)=0,"",AR59&amp;":"&amp;AS59)</f>
      </c>
      <c r="Y56" s="37">
        <f>IF(SUM(AR57:AS57)=0,"",AR57&amp;":"&amp;AS57)</f>
      </c>
      <c r="Z56" s="179"/>
      <c r="AA56" s="184"/>
      <c r="AB56" s="184"/>
      <c r="AC56" s="187"/>
      <c r="AD56" s="2"/>
      <c r="AE56" s="22"/>
      <c r="AF56" s="22"/>
      <c r="AG56" s="28"/>
      <c r="AH56" s="193" t="s">
        <v>13</v>
      </c>
      <c r="AI56" s="194"/>
      <c r="AJ56" s="195" t="s">
        <v>14</v>
      </c>
      <c r="AK56" s="194"/>
      <c r="AL56" s="195" t="s">
        <v>15</v>
      </c>
      <c r="AM56" s="196"/>
      <c r="AN56" s="193" t="s">
        <v>13</v>
      </c>
      <c r="AO56" s="194"/>
      <c r="AP56" s="195" t="s">
        <v>14</v>
      </c>
      <c r="AQ56" s="194"/>
      <c r="AR56" s="195" t="s">
        <v>15</v>
      </c>
      <c r="AS56" s="194"/>
      <c r="AT56" s="22"/>
      <c r="AU56" s="22"/>
      <c r="AV56" s="193">
        <v>1</v>
      </c>
      <c r="AW56" s="194"/>
      <c r="AX56" s="195">
        <v>2</v>
      </c>
      <c r="AY56" s="194"/>
      <c r="AZ56" s="195">
        <v>3</v>
      </c>
      <c r="BA56" s="196"/>
      <c r="BD56" s="193" t="s">
        <v>4</v>
      </c>
      <c r="BE56" s="196"/>
      <c r="BF56" s="193" t="s">
        <v>5</v>
      </c>
      <c r="BG56" s="196"/>
      <c r="BH56" s="193" t="s">
        <v>6</v>
      </c>
      <c r="BI56" s="196"/>
      <c r="BJ56" s="38" t="s">
        <v>7</v>
      </c>
      <c r="BK56" s="13">
        <f>SUM(BK57:BK59)</f>
        <v>0</v>
      </c>
    </row>
    <row r="57" spans="1:63" ht="11.25" customHeight="1">
      <c r="A57" s="12">
        <f>S57</f>
        <v>5</v>
      </c>
      <c r="B57" s="2" t="str">
        <f>IF(N55="","",N55)</f>
        <v>M0008</v>
      </c>
      <c r="C57" s="2">
        <f>IF(N56="","",N56)</f>
      </c>
      <c r="D57" s="2" t="str">
        <f>IF(N61="","",N61)</f>
        <v>M0023</v>
      </c>
      <c r="E57" s="2">
        <f>IF(N62="","",N62)</f>
      </c>
      <c r="I57" s="2" t="str">
        <f>"2"&amp;O53&amp;N54</f>
        <v>25Runners Up</v>
      </c>
      <c r="J57" s="29" t="str">
        <f>IF(AC57="","",IF(AC54=2,N55,IF(AC57=2,N58,IF(AC60=2,N61,""))))</f>
        <v>M0008</v>
      </c>
      <c r="K57" s="29">
        <f>IF(AC57="","",IF(AC54=2,N56,IF(AC57=2,N59,IF(AC60=2,N62,""))))</f>
        <v>0</v>
      </c>
      <c r="M57" s="39" t="str">
        <f>N54</f>
        <v>Runners Up</v>
      </c>
      <c r="O57" s="23"/>
      <c r="P57" s="23"/>
      <c r="Q57" s="40">
        <f>IF(AT57&gt;0,"",IF(A57=0,"",IF(VLOOKUP(A57,'[1]plan gier'!A:S,19,FALSE)="","",VLOOKUP(A57,'[1]plan gier'!A:S,19,FALSE))))</f>
      </c>
      <c r="R57" s="41" t="s">
        <v>16</v>
      </c>
      <c r="S57" s="42">
        <v>5</v>
      </c>
      <c r="T57" s="197">
        <v>2</v>
      </c>
      <c r="U57" s="198">
        <f>IF(AND(N58&lt;&gt;"",N59&lt;&gt;""),CONCATENATE(VLOOKUP(N58,'[1]zawodnicy'!$A:$E,1,FALSE)," ",VLOOKUP(N58,'[1]zawodnicy'!$A:$E,2,FALSE)," ",VLOOKUP(N58,'[1]zawodnicy'!$A:$E,3,FALSE)," - ",VLOOKUP(N58,'[1]zawodnicy'!$A:$E,4,FALSE)),"")</f>
      </c>
      <c r="V57" s="199"/>
      <c r="W57" s="43" t="str">
        <f>IF(SUM(AN59:AO59)=0,"",AO59&amp;":"&amp;AN59)</f>
        <v>4:21</v>
      </c>
      <c r="X57" s="44"/>
      <c r="Y57" s="45" t="str">
        <f>IF(SUM(AN58:AO58)=0,"",AN58&amp;":"&amp;AO58)</f>
        <v>0:21</v>
      </c>
      <c r="Z57" s="197" t="str">
        <f>IF(SUM(AV58:AW58,AZ58:BA58)=0,"",BD58&amp;":"&amp;BE58)</f>
        <v>15:84</v>
      </c>
      <c r="AA57" s="200" t="str">
        <f>IF(SUM(AV58:AW58,AZ58:BA58)=0,"",BF58&amp;":"&amp;BG58)</f>
        <v>0:4</v>
      </c>
      <c r="AB57" s="200" t="str">
        <f>IF(SUM(AV58:AW58,AZ58:BA58)=0,"",BH58&amp;":"&amp;BI58)</f>
        <v>0:2</v>
      </c>
      <c r="AC57" s="201">
        <f>IF(SUM(BH57:BH59)&gt;0,BJ58,"")</f>
        <v>3</v>
      </c>
      <c r="AD57" s="2"/>
      <c r="AE57" s="22"/>
      <c r="AF57" s="22"/>
      <c r="AG57" s="41" t="s">
        <v>16</v>
      </c>
      <c r="AH57" s="46">
        <f>IF(ISBLANK(S57),"",VLOOKUP(S57,'[1]plan gier'!$X:$AN,12,FALSE))</f>
        <v>13</v>
      </c>
      <c r="AI57" s="47">
        <f>IF(ISBLANK(S57),"",VLOOKUP(S57,'[1]plan gier'!$X:$AN,13,FALSE))</f>
        <v>21</v>
      </c>
      <c r="AJ57" s="47">
        <f>IF(ISBLANK(S57),"",VLOOKUP(S57,'[1]plan gier'!$X:$AN,14,FALSE))</f>
        <v>9</v>
      </c>
      <c r="AK57" s="47">
        <f>IF(ISBLANK(S57),"",VLOOKUP(S57,'[1]plan gier'!$X:$AN,15,FALSE))</f>
        <v>21</v>
      </c>
      <c r="AL57" s="47">
        <f>IF(ISBLANK(S57),"",VLOOKUP(S57,'[1]plan gier'!$X:$AN,16,FALSE))</f>
        <v>0</v>
      </c>
      <c r="AM57" s="47">
        <f>IF(ISBLANK(S57),"",VLOOKUP(S57,'[1]plan gier'!$X:$AN,17,FALSE))</f>
        <v>0</v>
      </c>
      <c r="AN57" s="48">
        <f aca="true" t="shared" si="7" ref="AN57:AS59">IF(AH57="",0,AH57)</f>
        <v>13</v>
      </c>
      <c r="AO57" s="49">
        <f t="shared" si="7"/>
        <v>21</v>
      </c>
      <c r="AP57" s="50">
        <f t="shared" si="7"/>
        <v>9</v>
      </c>
      <c r="AQ57" s="49">
        <f t="shared" si="7"/>
        <v>21</v>
      </c>
      <c r="AR57" s="50">
        <f t="shared" si="7"/>
        <v>0</v>
      </c>
      <c r="AS57" s="49">
        <f t="shared" si="7"/>
        <v>0</v>
      </c>
      <c r="AT57" s="51">
        <f>SUM(AN57:AS57)</f>
        <v>64</v>
      </c>
      <c r="AU57" s="52">
        <v>1</v>
      </c>
      <c r="AV57" s="53"/>
      <c r="AW57" s="54"/>
      <c r="AX57" s="47">
        <f>IF(AH59&gt;AI59,1,0)+IF(AJ59&gt;AK59,1,0)+IF(AL59&gt;AM59,1,0)</f>
        <v>2</v>
      </c>
      <c r="AY57" s="47">
        <f>AV58</f>
        <v>0</v>
      </c>
      <c r="AZ57" s="47">
        <f>IF(AH57&gt;AI57,1,0)+IF(AJ57&gt;AK57,1,0)+IF(AL57&gt;AM57,1,0)</f>
        <v>0</v>
      </c>
      <c r="BA57" s="55">
        <f>AV59</f>
        <v>2</v>
      </c>
      <c r="BD57" s="46">
        <f>AN57+AP57+AR57+AN59+AP59+AR59</f>
        <v>64</v>
      </c>
      <c r="BE57" s="55">
        <f>AO57+AQ57+AS57+AO59+AQ59+AS59</f>
        <v>53</v>
      </c>
      <c r="BF57" s="46">
        <f>AX57+AZ57</f>
        <v>2</v>
      </c>
      <c r="BG57" s="55">
        <f>AY57+BA57</f>
        <v>2</v>
      </c>
      <c r="BH57" s="46">
        <f>IF(AX57&gt;AY57,1,0)+IF(AZ57&gt;BA57,1,0)</f>
        <v>1</v>
      </c>
      <c r="BI57" s="56">
        <f>IF(AY57&gt;AX57,1,0)+IF(BA57&gt;AZ57,1,0)</f>
        <v>1</v>
      </c>
      <c r="BJ57" s="57">
        <f>IF(BH57+BI57=0,"",IF(BK57=MAX(BK57:BK59),1,IF(BK57=MIN(BK57:BK59),3,2)))</f>
        <v>2</v>
      </c>
      <c r="BK57" s="13">
        <f>IF(BH57+BI57&lt;&gt;0,BH57-BI57+(BF57-BG57)/100+(BD57-BE57)/10000,-2)</f>
        <v>0.0011</v>
      </c>
    </row>
    <row r="58" spans="1:63" ht="11.25" customHeight="1">
      <c r="A58" s="12">
        <f>S58</f>
        <v>10</v>
      </c>
      <c r="B58" s="2" t="str">
        <f>IF(N58="","",N58)</f>
        <v>M0026</v>
      </c>
      <c r="C58" s="2">
        <f>IF(N59="","",N59)</f>
      </c>
      <c r="D58" s="2" t="str">
        <f>IF(N61="","",N61)</f>
        <v>M0023</v>
      </c>
      <c r="E58" s="2">
        <f>IF(N62="","",N62)</f>
      </c>
      <c r="J58" s="29"/>
      <c r="K58" s="12"/>
      <c r="M58" s="39" t="str">
        <f>N54</f>
        <v>Runners Up</v>
      </c>
      <c r="N58" s="30" t="s">
        <v>35</v>
      </c>
      <c r="O58" s="31">
        <f>IF(O53&gt;0,(O53&amp;2)*1,"")</f>
        <v>52</v>
      </c>
      <c r="Q58" s="40">
        <f>IF(AT58&gt;0,"",IF(A58=0,"",IF(VLOOKUP(A58,'[1]plan gier'!A:S,19,FALSE)="","",VLOOKUP(A58,'[1]plan gier'!A:S,19,FALSE))))</f>
      </c>
      <c r="R58" s="41" t="s">
        <v>18</v>
      </c>
      <c r="S58" s="42">
        <v>10</v>
      </c>
      <c r="T58" s="178"/>
      <c r="U58" s="189" t="str">
        <f>IF(AND(N58&lt;&gt;"",N59=""),CONCATENATE(VLOOKUP(N58,'[1]zawodnicy'!$A:$E,1,FALSE)," ",VLOOKUP(N58,'[1]zawodnicy'!$A:$E,2,FALSE)," ",VLOOKUP(N58,'[1]zawodnicy'!$A:$E,3,FALSE)," - ",VLOOKUP(N58,'[1]zawodnicy'!$A:$E,4,FALSE)),"")</f>
        <v>M0026 Wojciech MACHAJ - Mielec</v>
      </c>
      <c r="V58" s="190"/>
      <c r="W58" s="58" t="str">
        <f>IF(SUM(AP59:AQ59)=0,"",AQ59&amp;":"&amp;AP59)</f>
        <v>7:21</v>
      </c>
      <c r="X58" s="59"/>
      <c r="Y58" s="34" t="str">
        <f>IF(SUM(AP58:AQ58)=0,"",AP58&amp;":"&amp;AQ58)</f>
        <v>4:21</v>
      </c>
      <c r="Z58" s="178"/>
      <c r="AA58" s="183"/>
      <c r="AB58" s="183"/>
      <c r="AC58" s="186"/>
      <c r="AD58" s="2"/>
      <c r="AE58" s="22"/>
      <c r="AF58" s="22"/>
      <c r="AG58" s="41" t="s">
        <v>18</v>
      </c>
      <c r="AH58" s="60">
        <f>IF(ISBLANK(S58),"",VLOOKUP(S58,'[1]plan gier'!$X:$AN,12,FALSE))</f>
        <v>0</v>
      </c>
      <c r="AI58" s="61">
        <f>IF(ISBLANK(S58),"",VLOOKUP(S58,'[1]plan gier'!$X:$AN,13,FALSE))</f>
        <v>21</v>
      </c>
      <c r="AJ58" s="61">
        <f>IF(ISBLANK(S58),"",VLOOKUP(S58,'[1]plan gier'!$X:$AN,14,FALSE))</f>
        <v>4</v>
      </c>
      <c r="AK58" s="61">
        <f>IF(ISBLANK(S58),"",VLOOKUP(S58,'[1]plan gier'!$X:$AN,15,FALSE))</f>
        <v>21</v>
      </c>
      <c r="AL58" s="61">
        <f>IF(ISBLANK(S58),"",VLOOKUP(S58,'[1]plan gier'!$X:$AN,16,FALSE))</f>
        <v>0</v>
      </c>
      <c r="AM58" s="61">
        <f>IF(ISBLANK(S58),"",VLOOKUP(S58,'[1]plan gier'!$X:$AN,17,FALSE))</f>
        <v>0</v>
      </c>
      <c r="AN58" s="62">
        <f t="shared" si="7"/>
        <v>0</v>
      </c>
      <c r="AO58" s="61">
        <f t="shared" si="7"/>
        <v>21</v>
      </c>
      <c r="AP58" s="63">
        <f t="shared" si="7"/>
        <v>4</v>
      </c>
      <c r="AQ58" s="61">
        <f t="shared" si="7"/>
        <v>21</v>
      </c>
      <c r="AR58" s="63">
        <f t="shared" si="7"/>
        <v>0</v>
      </c>
      <c r="AS58" s="61">
        <f t="shared" si="7"/>
        <v>0</v>
      </c>
      <c r="AT58" s="51">
        <f>SUM(AN58:AS58)</f>
        <v>46</v>
      </c>
      <c r="AU58" s="52">
        <v>2</v>
      </c>
      <c r="AV58" s="60">
        <f>IF(AH59&lt;AI59,1,0)+IF(AJ59&lt;AK59,1,0)+IF(AL59&lt;AM59,1,0)</f>
        <v>0</v>
      </c>
      <c r="AW58" s="61">
        <f>AX57</f>
        <v>2</v>
      </c>
      <c r="AX58" s="64"/>
      <c r="AY58" s="65"/>
      <c r="AZ58" s="61">
        <f>IF(AH58&gt;AI58,1,0)+IF(AJ58&gt;AK58,1,0)+IF(AL58&gt;AM58,1,0)</f>
        <v>0</v>
      </c>
      <c r="BA58" s="66">
        <f>AX59</f>
        <v>2</v>
      </c>
      <c r="BD58" s="60">
        <f>AN58+AP58+AR58+AO59+AQ59+AS59</f>
        <v>15</v>
      </c>
      <c r="BE58" s="66">
        <f>AO58+AQ58+AS58+AN59+AP59+AR59</f>
        <v>84</v>
      </c>
      <c r="BF58" s="60">
        <f>AV58+AZ58</f>
        <v>0</v>
      </c>
      <c r="BG58" s="66">
        <f>AW58+BA58</f>
        <v>4</v>
      </c>
      <c r="BH58" s="60">
        <f>IF(AV58&gt;AW58,1,0)+IF(AZ58&gt;BA58,1,0)</f>
        <v>0</v>
      </c>
      <c r="BI58" s="67">
        <f>IF(AW58&gt;AV58,1,0)+IF(BA58&gt;AZ58,1,0)</f>
        <v>2</v>
      </c>
      <c r="BJ58" s="68">
        <f>IF(BH58+BI58=0,"",IF(BK58=MAX(BK57:BK59),1,IF(BK58=MIN(BK57:BK59),3,2)))</f>
        <v>3</v>
      </c>
      <c r="BK58" s="13">
        <f>IF(BH58+BI58&lt;&gt;0,BH58-BI58+(BF58-BG58)/100+(BD58-BE58)/10000,-2)</f>
        <v>-2.0469</v>
      </c>
    </row>
    <row r="59" spans="1:63" ht="11.25" customHeight="1" thickBot="1">
      <c r="A59" s="12">
        <f>S59</f>
        <v>15</v>
      </c>
      <c r="B59" s="2" t="str">
        <f>IF(N55="","",N55)</f>
        <v>M0008</v>
      </c>
      <c r="C59" s="2">
        <f>IF(N56="","",N56)</f>
      </c>
      <c r="D59" s="2" t="str">
        <f>IF(N58="","",N58)</f>
        <v>M0026</v>
      </c>
      <c r="E59" s="2">
        <f>IF(N59="","",N59)</f>
      </c>
      <c r="I59" s="2" t="str">
        <f>"3"&amp;O53&amp;N54</f>
        <v>35Runners Up</v>
      </c>
      <c r="J59" s="29" t="str">
        <f>IF(AC60="","",IF(AC54=3,N55,IF(AC57=3,N58,IF(AC60=3,N61,""))))</f>
        <v>M0026</v>
      </c>
      <c r="K59" s="29">
        <f>IF(AC60="","",IF(AC54=3,N56,IF(AC57=3,N59,IF(AC60=3,N62,""))))</f>
        <v>0</v>
      </c>
      <c r="M59" s="39" t="str">
        <f>N54</f>
        <v>Runners Up</v>
      </c>
      <c r="N59" s="35"/>
      <c r="O59" s="23"/>
      <c r="P59" s="23"/>
      <c r="Q59" s="40">
        <f>IF(AT59&gt;0,"",IF(A59=0,"",IF(VLOOKUP(A59,'[1]plan gier'!A:S,19,FALSE)="","",VLOOKUP(A59,'[1]plan gier'!A:S,19,FALSE))))</f>
      </c>
      <c r="R59" s="69" t="s">
        <v>19</v>
      </c>
      <c r="S59" s="42">
        <v>15</v>
      </c>
      <c r="T59" s="179"/>
      <c r="U59" s="191">
        <f>IF(N59&lt;&gt;"",CONCATENATE(VLOOKUP(N59,'[1]zawodnicy'!$A:$E,1,FALSE)," ",VLOOKUP(N59,'[1]zawodnicy'!$A:$E,2,FALSE)," ",VLOOKUP(N59,'[1]zawodnicy'!$A:$E,3,FALSE)," - ",VLOOKUP(N59,'[1]zawodnicy'!$A:$E,4,FALSE)),"")</f>
      </c>
      <c r="V59" s="192"/>
      <c r="W59" s="70">
        <f>IF(SUM(AR59:AS59)=0,"",AS59&amp;":"&amp;AR59)</f>
      </c>
      <c r="X59" s="59"/>
      <c r="Y59" s="37">
        <f>IF(SUM(AR58:AS58)=0,"",AR58&amp;":"&amp;AS58)</f>
      </c>
      <c r="Z59" s="179"/>
      <c r="AA59" s="184"/>
      <c r="AB59" s="184"/>
      <c r="AC59" s="187"/>
      <c r="AD59" s="2"/>
      <c r="AE59" s="22"/>
      <c r="AF59" s="22"/>
      <c r="AG59" s="69" t="s">
        <v>19</v>
      </c>
      <c r="AH59" s="71">
        <f>IF(ISBLANK(S59),"",VLOOKUP(S59,'[1]plan gier'!$X:$AN,12,FALSE))</f>
        <v>21</v>
      </c>
      <c r="AI59" s="72">
        <f>IF(ISBLANK(S59),"",VLOOKUP(S59,'[1]plan gier'!$X:$AN,13,FALSE))</f>
        <v>4</v>
      </c>
      <c r="AJ59" s="72">
        <f>IF(ISBLANK(S59),"",VLOOKUP(S59,'[1]plan gier'!$X:$AN,14,FALSE))</f>
        <v>21</v>
      </c>
      <c r="AK59" s="72">
        <f>IF(ISBLANK(S59),"",VLOOKUP(S59,'[1]plan gier'!$X:$AN,15,FALSE))</f>
        <v>7</v>
      </c>
      <c r="AL59" s="72">
        <f>IF(ISBLANK(S59),"",VLOOKUP(S59,'[1]plan gier'!$X:$AN,16,FALSE))</f>
        <v>0</v>
      </c>
      <c r="AM59" s="72">
        <f>IF(ISBLANK(S59),"",VLOOKUP(S59,'[1]plan gier'!$X:$AN,17,FALSE))</f>
        <v>0</v>
      </c>
      <c r="AN59" s="73">
        <f t="shared" si="7"/>
        <v>21</v>
      </c>
      <c r="AO59" s="72">
        <f t="shared" si="7"/>
        <v>4</v>
      </c>
      <c r="AP59" s="74">
        <f t="shared" si="7"/>
        <v>21</v>
      </c>
      <c r="AQ59" s="72">
        <f t="shared" si="7"/>
        <v>7</v>
      </c>
      <c r="AR59" s="74">
        <f t="shared" si="7"/>
        <v>0</v>
      </c>
      <c r="AS59" s="72">
        <f t="shared" si="7"/>
        <v>0</v>
      </c>
      <c r="AT59" s="51">
        <f>SUM(AN59:AS59)</f>
        <v>53</v>
      </c>
      <c r="AU59" s="52">
        <v>3</v>
      </c>
      <c r="AV59" s="71">
        <f>IF(AH57&lt;AI57,1,0)+IF(AJ57&lt;AK57,1,0)+IF(AL57&lt;AM57,1,0)</f>
        <v>2</v>
      </c>
      <c r="AW59" s="72">
        <f>AZ57</f>
        <v>0</v>
      </c>
      <c r="AX59" s="72">
        <f>IF(AH58&lt;AI58,1,0)+IF(AJ58&lt;AK58,1,0)+IF(AL58&lt;AM58,1,0)</f>
        <v>2</v>
      </c>
      <c r="AY59" s="72">
        <f>AZ58</f>
        <v>0</v>
      </c>
      <c r="AZ59" s="75"/>
      <c r="BA59" s="76"/>
      <c r="BD59" s="71">
        <f>AO57+AQ57+AS57+AO58+AQ58+AS58</f>
        <v>84</v>
      </c>
      <c r="BE59" s="77">
        <f>AN57+AP57+AR57+AN58+AP58+AR58</f>
        <v>26</v>
      </c>
      <c r="BF59" s="71">
        <f>AV59+AX59</f>
        <v>4</v>
      </c>
      <c r="BG59" s="77">
        <f>AW59+AY59</f>
        <v>0</v>
      </c>
      <c r="BH59" s="71">
        <f>IF(AV59&gt;AW59,1,0)+IF(AX59&gt;AY59,1,0)</f>
        <v>2</v>
      </c>
      <c r="BI59" s="78">
        <f>IF(AW59&gt;AV59,1,0)+IF(AY59&gt;AX59,1,0)</f>
        <v>0</v>
      </c>
      <c r="BJ59" s="79">
        <f>IF(BH59+BI59=0,"",IF(BK59=MAX(BK57:BK59),1,IF(BK59=MIN(BK57:BK59),3,2)))</f>
        <v>1</v>
      </c>
      <c r="BK59" s="13">
        <f>IF(BH59+BI59&lt;&gt;0,BH59-BI59+(BF59-BG59)/100+(BD59-BE59)/10000,-2)</f>
        <v>2.0458</v>
      </c>
    </row>
    <row r="60" spans="1:59" ht="11.25" customHeight="1">
      <c r="A60" s="2"/>
      <c r="J60" s="23"/>
      <c r="K60" s="23"/>
      <c r="L60" s="23"/>
      <c r="O60" s="23"/>
      <c r="P60" s="23"/>
      <c r="Q60" s="2"/>
      <c r="R60" s="2"/>
      <c r="S60" s="2"/>
      <c r="T60" s="197">
        <v>3</v>
      </c>
      <c r="U60" s="198">
        <f>IF(AND(N61&lt;&gt;"",N62&lt;&gt;""),CONCATENATE(VLOOKUP(N61,'[1]zawodnicy'!$A:$E,1,FALSE)," ",VLOOKUP(N61,'[1]zawodnicy'!$A:$E,2,FALSE)," ",VLOOKUP(N61,'[1]zawodnicy'!$A:$E,3,FALSE)," - ",VLOOKUP(N61,'[1]zawodnicy'!$A:$E,4,FALSE)),"")</f>
      </c>
      <c r="V60" s="199"/>
      <c r="W60" s="43" t="str">
        <f>IF(SUM(AN57:AO57)=0,"",AO57&amp;":"&amp;AN57)</f>
        <v>21:13</v>
      </c>
      <c r="X60" s="80" t="str">
        <f>IF(SUM(AN58:AO58)=0,"",AO58&amp;":"&amp;AN58)</f>
        <v>21:0</v>
      </c>
      <c r="Y60" s="81"/>
      <c r="Z60" s="197" t="str">
        <f>IF(SUM(AV59:AY59)=0,"",BD59&amp;":"&amp;BE59)</f>
        <v>84:26</v>
      </c>
      <c r="AA60" s="200" t="str">
        <f>IF(SUM(AV59:AY59)=0,"",BF59&amp;":"&amp;BG59)</f>
        <v>4:0</v>
      </c>
      <c r="AB60" s="200" t="str">
        <f>IF(SUM(AV59:AY59)=0,"",BH59&amp;":"&amp;BI59)</f>
        <v>2:0</v>
      </c>
      <c r="AC60" s="201">
        <f>IF(SUM(BH57:BH59)&gt;0,BJ59,"")</f>
        <v>1</v>
      </c>
      <c r="AD60" s="2"/>
      <c r="AE60" s="22"/>
      <c r="AF60" s="22"/>
      <c r="BD60" s="12">
        <f>SUM(BD57:BD59)</f>
        <v>163</v>
      </c>
      <c r="BE60" s="12">
        <f>SUM(BE57:BE59)</f>
        <v>163</v>
      </c>
      <c r="BF60" s="12">
        <f>SUM(BF57:BF59)</f>
        <v>6</v>
      </c>
      <c r="BG60" s="12">
        <f>SUM(BG57:BG59)</f>
        <v>6</v>
      </c>
    </row>
    <row r="61" spans="1:63" ht="11.25" customHeight="1">
      <c r="A61" s="12"/>
      <c r="J61" s="12"/>
      <c r="K61" s="12"/>
      <c r="L61" s="12"/>
      <c r="N61" s="30" t="s">
        <v>36</v>
      </c>
      <c r="O61" s="31">
        <f>IF(O53&gt;0,(O53&amp;3)*1,"")</f>
        <v>53</v>
      </c>
      <c r="Q61" s="82"/>
      <c r="R61" s="82"/>
      <c r="S61" s="42"/>
      <c r="T61" s="178"/>
      <c r="U61" s="189" t="str">
        <f>IF(AND(N61&lt;&gt;"",N62=""),CONCATENATE(VLOOKUP(N61,'[1]zawodnicy'!$A:$E,1,FALSE)," ",VLOOKUP(N61,'[1]zawodnicy'!$A:$E,2,FALSE)," ",VLOOKUP(N61,'[1]zawodnicy'!$A:$E,3,FALSE)," - ",VLOOKUP(N61,'[1]zawodnicy'!$A:$E,4,FALSE)),"")</f>
        <v>M0023 Tymoteusz MALIK - Tarnobrzeg</v>
      </c>
      <c r="V61" s="190"/>
      <c r="W61" s="58" t="str">
        <f>IF(SUM(AP57:AQ57)=0,"",AQ57&amp;":"&amp;AP57)</f>
        <v>21:9</v>
      </c>
      <c r="X61" s="33" t="str">
        <f>IF(SUM(AP58:AQ58)=0,"",AQ58&amp;":"&amp;AP58)</f>
        <v>21:4</v>
      </c>
      <c r="Y61" s="83"/>
      <c r="Z61" s="178"/>
      <c r="AA61" s="183"/>
      <c r="AB61" s="183"/>
      <c r="AC61" s="186"/>
      <c r="AD61" s="2"/>
      <c r="AE61" s="22"/>
      <c r="AF61" s="2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</row>
    <row r="62" spans="1:63" ht="11.25" customHeight="1" thickBot="1">
      <c r="A62" s="2"/>
      <c r="J62" s="23"/>
      <c r="K62" s="23"/>
      <c r="L62" s="23"/>
      <c r="N62" s="35"/>
      <c r="O62" s="23"/>
      <c r="P62" s="23"/>
      <c r="Q62" s="2"/>
      <c r="R62" s="2"/>
      <c r="S62" s="2"/>
      <c r="T62" s="202"/>
      <c r="U62" s="205">
        <f>IF(N62&lt;&gt;"",CONCATENATE(VLOOKUP(N62,'[1]zawodnicy'!$A:$E,1,FALSE)," ",VLOOKUP(N62,'[1]zawodnicy'!$A:$E,2,FALSE)," ",VLOOKUP(N62,'[1]zawodnicy'!$A:$E,3,FALSE)," - ",VLOOKUP(N62,'[1]zawodnicy'!$A:$E,4,FALSE)),"")</f>
      </c>
      <c r="V62" s="206"/>
      <c r="W62" s="84">
        <f>IF(SUM(AR57:AS57)=0,"",AS57&amp;":"&amp;AR57)</f>
      </c>
      <c r="X62" s="85">
        <f>IF(SUM(AR58:AS58)=0,"",AS58&amp;":"&amp;AR58)</f>
      </c>
      <c r="Y62" s="86"/>
      <c r="Z62" s="202"/>
      <c r="AA62" s="203"/>
      <c r="AB62" s="203"/>
      <c r="AC62" s="204"/>
      <c r="AD62" s="29"/>
      <c r="AE62" s="22"/>
      <c r="AF62" s="2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ht="11.25" customHeight="1"/>
    <row r="64" ht="11.25" customHeight="1">
      <c r="U64" s="87" t="s">
        <v>37</v>
      </c>
    </row>
    <row r="65" ht="11.25" customHeight="1"/>
    <row r="66" ht="11.25" customHeight="1"/>
    <row r="67" spans="10:32" ht="11.25" customHeight="1">
      <c r="J67" s="2"/>
      <c r="N67" s="118" t="s">
        <v>1</v>
      </c>
      <c r="P67" s="119"/>
      <c r="Q67" s="1"/>
      <c r="R67" s="1"/>
      <c r="S67" s="1"/>
      <c r="T67" s="120"/>
      <c r="U67" s="121"/>
      <c r="V67" s="121"/>
      <c r="W67" s="121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1.25" customHeight="1">
      <c r="A68" s="122">
        <f>V68</f>
        <v>0</v>
      </c>
      <c r="B68" s="2" t="str">
        <f>IF(TYPE(S68)=16,"",S68)</f>
        <v>N0002</v>
      </c>
      <c r="F68" s="2" t="str">
        <f>IF(A68=0,IF(AND(LEN(B68)&gt;0,LEN(D68)=0),VLOOKUP(B68,'[1]zawodnicy'!$A:$E,1,FALSE),IF(AND(LEN(D68)&gt;0,LEN(B68)=0),VLOOKUP(D68,'[1]zawodnicy'!$A:$E,1,FALSE),"")),IF((VLOOKUP(A68,'[1]plan gier'!$X:$AF,7,FALSE))="","",VLOOKUP(VLOOKUP(A68,'[1]plan gier'!$X:$AF,7,FALSE),'[1]zawodnicy'!$A:$E,1,FALSE)))</f>
        <v>N0002</v>
      </c>
      <c r="H68" s="2">
        <f>IF(A68=0,"",IF((VLOOKUP(A68,'[1]plan gier'!$X:$AF,7,FALSE))="","",VLOOKUP(A68,'[1]plan gier'!$X:$AF,9,FALSE)))</f>
      </c>
      <c r="J68" s="123"/>
      <c r="L68" s="40">
        <f>IF(A68=0,"",IF(VLOOKUP(A68,'[1]plan gier'!A:S,19,FALSE)="","",VLOOKUP(A68,'[1]plan gier'!A:S,19,FALSE)))</f>
      </c>
      <c r="M68" s="2" t="str">
        <f>N67</f>
        <v>Runners Up</v>
      </c>
      <c r="N68" s="124"/>
      <c r="O68" s="125"/>
      <c r="P68" s="124"/>
      <c r="Q68" s="219" t="s">
        <v>38</v>
      </c>
      <c r="R68" s="220"/>
      <c r="S68" s="221" t="str">
        <f>UPPER(IF((N67=""),"",IF(TYPE(VLOOKUP(1&amp;1&amp;N67,I:J,2,FALSE))=2,VLOOKUP(1&amp;1&amp;N67,I:J,2,FALSE),"")))</f>
        <v>N0002</v>
      </c>
      <c r="T68" s="222"/>
      <c r="U68" s="222" t="str">
        <f>IF(S68&lt;&gt;"",CONCATENATE(VLOOKUP(S68,'[1]zawodnicy'!$A:$E,2,FALSE)," ",VLOOKUP(S68,'[1]zawodnicy'!$A:$E,3,FALSE)," - ",VLOOKUP(S68,'[1]zawodnicy'!$A:$E,4,FALSE)),"")</f>
        <v>Robert NOWAK - Mielec</v>
      </c>
      <c r="V68" s="225"/>
      <c r="W68" s="227" t="str">
        <f>IF(LEN(S68)&gt;0,VLOOKUP(S68,'[1]zawodnicy'!$A:$E,3,FALSE),"")</f>
        <v>NOWAK</v>
      </c>
      <c r="X68" s="228"/>
      <c r="Y68" s="228"/>
      <c r="Z68" s="2"/>
      <c r="AA68" s="2"/>
      <c r="AB68" s="2"/>
      <c r="AC68" s="2"/>
      <c r="AD68" s="2"/>
      <c r="AE68" s="2"/>
      <c r="AF68" s="2"/>
    </row>
    <row r="69" spans="10:32" ht="11.25" customHeight="1">
      <c r="J69" s="123"/>
      <c r="N69" s="124"/>
      <c r="O69" s="125"/>
      <c r="P69" s="124"/>
      <c r="Q69" s="219"/>
      <c r="R69" s="220"/>
      <c r="S69" s="223"/>
      <c r="T69" s="224"/>
      <c r="U69" s="224"/>
      <c r="V69" s="226"/>
      <c r="W69" s="229"/>
      <c r="X69" s="230"/>
      <c r="Y69" s="231"/>
      <c r="Z69" s="2"/>
      <c r="AA69" s="2"/>
      <c r="AB69" s="2"/>
      <c r="AC69" s="2"/>
      <c r="AD69" s="2"/>
      <c r="AE69" s="2"/>
      <c r="AF69" s="2"/>
    </row>
    <row r="70" spans="1:32" ht="11.25" customHeight="1">
      <c r="A70" s="126">
        <f>Y70</f>
        <v>18</v>
      </c>
      <c r="B70" s="2" t="str">
        <f>F68</f>
        <v>N0002</v>
      </c>
      <c r="D70" s="2" t="str">
        <f>F72</f>
        <v>K0012</v>
      </c>
      <c r="F70" s="2" t="str">
        <f>IF(A70=0,IF(AND(LEN(B70)&gt;0,LEN(D70)=0),B70,IF(AND(LEN(D70)&gt;0,LEN(B70)=0),D70,"")),IF((VLOOKUP(A70,'[1]plan gier'!$X:$AF,7,FALSE))="","",VLOOKUP(VLOOKUP(A70,'[1]plan gier'!$X:$AF,7,FALSE),'[1]zawodnicy'!$A:$E,1,FALSE)))</f>
        <v>N0002</v>
      </c>
      <c r="H70" s="2" t="str">
        <f>IF(A70=0,"",IF((VLOOKUP(A70,'[1]plan gier'!$X:$AF,7,FALSE))="","",VLOOKUP(A70,'[1]plan gier'!$X:$AF,9,FALSE)))</f>
        <v>21:18,22:20</v>
      </c>
      <c r="J70" s="123"/>
      <c r="L70" s="40" t="str">
        <f>IF(A70=0,"",IF(VLOOKUP(A70,'[1]plan gier'!A:S,19,FALSE)="","",VLOOKUP(A70,'[1]plan gier'!A:S,19,FALSE)))</f>
        <v>godz.10:20</v>
      </c>
      <c r="M70" s="2" t="str">
        <f>N67</f>
        <v>Runners Up</v>
      </c>
      <c r="N70" s="124"/>
      <c r="O70" s="125"/>
      <c r="P70" s="124"/>
      <c r="S70" s="127"/>
      <c r="T70" s="128"/>
      <c r="U70" s="2"/>
      <c r="V70" s="2"/>
      <c r="W70" s="129"/>
      <c r="X70" s="29"/>
      <c r="Y70" s="130">
        <v>18</v>
      </c>
      <c r="Z70" s="228" t="str">
        <f>IF(ISBLANK(Y70),IF(AND(LEN(W68)&gt;0,LEN(W72)=0),W68,IF(AND(LEN(W72)&gt;0,LEN(W68)=0),W72,"")),IF((VLOOKUP(Y70,'[1]plan gier'!$X:$AF,7,FALSE))="","",VLOOKUP(VLOOKUP(Y70,'[1]plan gier'!$X:$AF,7,FALSE),'[1]zawodnicy'!$A:$E,3,FALSE)))</f>
        <v>NOWAK</v>
      </c>
      <c r="AA70" s="228"/>
      <c r="AB70" s="228"/>
      <c r="AC70" s="2"/>
      <c r="AD70" s="2"/>
      <c r="AE70" s="2"/>
      <c r="AF70" s="2"/>
    </row>
    <row r="71" spans="10:63" ht="11.25" customHeight="1">
      <c r="J71" s="123"/>
      <c r="N71" s="124"/>
      <c r="O71" s="125"/>
      <c r="P71" s="124"/>
      <c r="S71" s="127"/>
      <c r="T71" s="128"/>
      <c r="U71" s="2"/>
      <c r="V71" s="2"/>
      <c r="W71" s="129"/>
      <c r="X71" s="29"/>
      <c r="Y71" s="131"/>
      <c r="Z71" s="230" t="str">
        <f>IF(ISBLANK(Y70),"",IF((VLOOKUP(Y70,'[1]plan gier'!$X:$AF,7,FALSE))="",L70,VLOOKUP(Y70,'[1]plan gier'!$X:$AF,9,FALSE)))</f>
        <v>21:18,22:20</v>
      </c>
      <c r="AA71" s="230"/>
      <c r="AB71" s="231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1:63" ht="11.25" customHeight="1">
      <c r="A72" s="122">
        <f>V72</f>
        <v>0</v>
      </c>
      <c r="B72" s="2" t="str">
        <f>IF(TYPE(S72)=16,"",S72)</f>
        <v>K0012</v>
      </c>
      <c r="F72" s="2" t="str">
        <f>IF(A72=0,IF(AND(LEN(B72)&gt;0,LEN(D72)=0),VLOOKUP(B72,'[1]zawodnicy'!$A:$E,1,FALSE),IF(AND(LEN(D72)&gt;0,LEN(B72)=0),VLOOKUP(D72,'[1]zawodnicy'!$A:$E,1,FALSE),"")),IF((VLOOKUP(A72,'[1]plan gier'!$X:$AF,7,FALSE))="","",VLOOKUP(VLOOKUP(A72,'[1]plan gier'!$X:$AF,7,FALSE),'[1]zawodnicy'!$A:$E,1,FALSE)))</f>
        <v>K0012</v>
      </c>
      <c r="H72" s="2">
        <f>IF(A72=0,"",IF((VLOOKUP(A72,'[1]plan gier'!$X:$AF,7,FALSE))="","",VLOOKUP(A72,'[1]plan gier'!$X:$AF,9,FALSE)))</f>
      </c>
      <c r="J72" s="123"/>
      <c r="L72" s="40">
        <f>IF(A72=0,"",IF(VLOOKUP(A72,'[1]plan gier'!A:S,19,FALSE)="","",VLOOKUP(A72,'[1]plan gier'!A:S,19,FALSE)))</f>
      </c>
      <c r="M72" s="2" t="str">
        <f>N67</f>
        <v>Runners Up</v>
      </c>
      <c r="N72" s="124"/>
      <c r="O72" s="125"/>
      <c r="P72" s="124"/>
      <c r="Q72" s="219" t="s">
        <v>39</v>
      </c>
      <c r="R72" s="220"/>
      <c r="S72" s="221" t="str">
        <f>UPPER(IF(N67="","",IF(TYPE(VLOOKUP(1&amp;3&amp;N67,I:J,2,FALSE))=2,VLOOKUP(1&amp;3&amp;N67,I:J,2,FALSE),"")))</f>
        <v>K0012</v>
      </c>
      <c r="T72" s="222"/>
      <c r="U72" s="222" t="str">
        <f>IF(S72&lt;&gt;"",CONCATENATE(VLOOKUP(S72,'[1]zawodnicy'!$A:$E,2,FALSE)," ",VLOOKUP(S72,'[1]zawodnicy'!$A:$E,3,FALSE)," - ",VLOOKUP(S72,'[1]zawodnicy'!$A:$E,4,FALSE)),"")</f>
        <v>Piotr KOTERBA - Rzeszów</v>
      </c>
      <c r="V72" s="225"/>
      <c r="W72" s="227" t="str">
        <f>IF(ISBLANK(V72),IF(AND(LEN(S72)&gt;0,LEN(S73)=0),VLOOKUP(S72,'[1]zawodnicy'!$A:$E,3,FALSE),IF(AND(LEN(S73)&gt;0,LEN(S72)=0),VLOOKUP(S73,'[1]zawodnicy'!$A:$E,3,FALSE),"")),IF((VLOOKUP(V72,'[1]plan gier'!$X:$AF,7,FALSE))="","",VLOOKUP(VLOOKUP(V72,'[1]plan gier'!$X:$AF,7,FALSE),'[1]zawodnicy'!$A:$E,3,FALSE)))</f>
        <v>KOTERBA</v>
      </c>
      <c r="X72" s="228"/>
      <c r="Y72" s="232"/>
      <c r="Z72" s="29"/>
      <c r="AA72" s="29"/>
      <c r="AB72" s="13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10:63" ht="11.25" customHeight="1">
      <c r="J73" s="123"/>
      <c r="N73" s="124"/>
      <c r="O73" s="125"/>
      <c r="P73" s="124"/>
      <c r="Q73" s="219"/>
      <c r="R73" s="220"/>
      <c r="S73" s="223"/>
      <c r="T73" s="224"/>
      <c r="U73" s="224"/>
      <c r="V73" s="226"/>
      <c r="W73" s="233"/>
      <c r="X73" s="234"/>
      <c r="Y73" s="234"/>
      <c r="Z73" s="29"/>
      <c r="AA73" s="29"/>
      <c r="AB73" s="13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1:63" ht="11.25" customHeight="1">
      <c r="A74" s="133">
        <f>AB74</f>
        <v>22</v>
      </c>
      <c r="B74" s="2" t="str">
        <f>F70</f>
        <v>N0002</v>
      </c>
      <c r="D74" s="2" t="str">
        <f>F78</f>
        <v>M0008</v>
      </c>
      <c r="F74" s="2" t="str">
        <f>IF(A74=0,IF(AND(LEN(B74)&gt;0,LEN(D74)=0),B74,IF(AND(LEN(D74)&gt;0,LEN(B74)=0),D74,"")),IF((VLOOKUP(A74,'[1]plan gier'!$X:$AF,7,FALSE))="","",VLOOKUP(VLOOKUP(A74,'[1]plan gier'!$X:$AF,7,FALSE),'[1]zawodnicy'!$A:$E,1,FALSE)))</f>
        <v>N0002</v>
      </c>
      <c r="H74" s="2" t="str">
        <f>IF(A74=0,"",IF((VLOOKUP(A74,'[1]plan gier'!$X:$AF,7,FALSE))="","",VLOOKUP(A74,'[1]plan gier'!$X:$AF,9,FALSE)))</f>
        <v>21:19,21:14</v>
      </c>
      <c r="J74" s="123"/>
      <c r="L74" s="40" t="str">
        <f>IF(A74=0,"",IF(VLOOKUP(A74,'[1]plan gier'!A:S,19,FALSE)="","",VLOOKUP(A74,'[1]plan gier'!A:S,19,FALSE)))</f>
        <v>godz.10:40</v>
      </c>
      <c r="M74" s="2" t="str">
        <f>N67</f>
        <v>Runners Up</v>
      </c>
      <c r="N74" s="124"/>
      <c r="O74" s="125"/>
      <c r="P74" s="124"/>
      <c r="S74" s="127"/>
      <c r="T74" s="128"/>
      <c r="U74" s="129"/>
      <c r="V74" s="2"/>
      <c r="W74" s="29"/>
      <c r="X74" s="2"/>
      <c r="Y74" s="2"/>
      <c r="Z74" s="29"/>
      <c r="AA74" s="29"/>
      <c r="AB74" s="130">
        <v>22</v>
      </c>
      <c r="AC74" s="228" t="str">
        <f>IF(ISBLANK(AB74),IF(AND(LEN(Z70)&gt;0,LEN(Z78)=0),Z70,IF(AND(LEN(Z78)&gt;0,LEN(Z70)=0),Z78,"")),IF((VLOOKUP(AB74,'[1]plan gier'!$X:$AF,7,FALSE))="","",VLOOKUP(VLOOKUP(AB74,'[1]plan gier'!$X:$AF,7,FALSE),'[1]zawodnicy'!$A:$E,3,FALSE)))</f>
        <v>NOWAK</v>
      </c>
      <c r="AD74" s="228"/>
      <c r="AE74" s="228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10:63" ht="11.25" customHeight="1">
      <c r="J75" s="123"/>
      <c r="N75" s="124"/>
      <c r="O75" s="125"/>
      <c r="P75" s="124"/>
      <c r="S75" s="127"/>
      <c r="T75" s="128"/>
      <c r="U75" s="129"/>
      <c r="V75" s="2"/>
      <c r="W75" s="29"/>
      <c r="X75" s="2"/>
      <c r="Y75" s="2"/>
      <c r="Z75" s="29"/>
      <c r="AA75" s="29"/>
      <c r="AB75" s="131"/>
      <c r="AC75" s="230" t="str">
        <f>IF(ISBLANK(AB74),"",IF((VLOOKUP(AB74,'[1]plan gier'!$X:$AF,7,FALSE))="",L74,VLOOKUP(AB74,'[1]plan gier'!$X:$AF,9,FALSE)))</f>
        <v>21:19,21:14</v>
      </c>
      <c r="AD75" s="230"/>
      <c r="AE75" s="231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  <row r="76" spans="1:63" ht="11.25" customHeight="1">
      <c r="A76" s="122">
        <f>V76</f>
        <v>0</v>
      </c>
      <c r="B76" s="2" t="str">
        <f>IF(TYPE(S76)=16,"",S76)</f>
        <v>S0029</v>
      </c>
      <c r="F76" s="2" t="str">
        <f>IF(A76=0,IF(AND(LEN(B76)&gt;0,LEN(D76)=0),VLOOKUP(B76,'[1]zawodnicy'!$A:$E,1,FALSE),IF(AND(LEN(D76)&gt;0,LEN(B76)=0),VLOOKUP(D76,'[1]zawodnicy'!$A:$E,1,FALSE),"")),IF((VLOOKUP(A76,'[1]plan gier'!$X:$AF,7,FALSE))="","",VLOOKUP(VLOOKUP(A76,'[1]plan gier'!$X:$AF,7,FALSE),'[1]zawodnicy'!$A:$E,1,FALSE)))</f>
        <v>S0029</v>
      </c>
      <c r="H76" s="2">
        <f>IF(A76=0,"",IF((VLOOKUP(A76,'[1]plan gier'!$X:$AF,7,FALSE))="","",VLOOKUP(A76,'[1]plan gier'!$X:$AF,9,FALSE)))</f>
      </c>
      <c r="J76" s="123"/>
      <c r="L76" s="40">
        <f>IF(A76=0,"",IF(VLOOKUP(A76,'[1]plan gier'!A:S,19,FALSE)="","",VLOOKUP(A76,'[1]plan gier'!A:S,19,FALSE)))</f>
      </c>
      <c r="M76" s="2" t="str">
        <f>N67</f>
        <v>Runners Up</v>
      </c>
      <c r="N76" s="124"/>
      <c r="O76" s="125"/>
      <c r="P76" s="124"/>
      <c r="Q76" s="219" t="s">
        <v>40</v>
      </c>
      <c r="R76" s="220"/>
      <c r="S76" s="221" t="str">
        <f>UPPER(IF(N67="","",IF(TYPE(VLOOKUP(1&amp;2&amp;N67,I:J,2,FALSE))=2,VLOOKUP(1&amp;2&amp;N67,I:J,2,FALSE),"")))</f>
        <v>S0029</v>
      </c>
      <c r="T76" s="222"/>
      <c r="U76" s="222" t="str">
        <f>IF(S76&lt;&gt;"",CONCATENATE(VLOOKUP(S76,'[1]zawodnicy'!$A:$E,2,FALSE)," ",VLOOKUP(S76,'[1]zawodnicy'!$A:$E,3,FALSE)," - ",VLOOKUP(S76,'[1]zawodnicy'!$A:$E,4,FALSE)),"")</f>
        <v>Patryk STOLARZ - Mielec</v>
      </c>
      <c r="V76" s="225"/>
      <c r="W76" s="227" t="str">
        <f>IF(ISBLANK(V76),IF(AND(LEN(S76)&gt;0,LEN(S77)=0),VLOOKUP(S76,'[1]zawodnicy'!$A:$E,3,FALSE),IF(AND(LEN(S77)&gt;0,LEN(S76)=0),VLOOKUP(S77,'[1]zawodnicy'!$A:$E,3,FALSE),"")),IF((VLOOKUP(V76,'[1]plan gier'!$X:$AF,7,FALSE))="","",VLOOKUP(VLOOKUP(V76,'[1]plan gier'!$X:$AF,7,FALSE),'[1]zawodnicy'!$A:$E,3,FALSE)))</f>
        <v>STOLARZ</v>
      </c>
      <c r="X76" s="228"/>
      <c r="Y76" s="228"/>
      <c r="Z76" s="29"/>
      <c r="AA76" s="29"/>
      <c r="AB76" s="132"/>
      <c r="AC76" s="29"/>
      <c r="AD76" s="29"/>
      <c r="AE76" s="13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10:63" ht="11.25" customHeight="1">
      <c r="J77" s="123"/>
      <c r="N77" s="124"/>
      <c r="O77" s="125"/>
      <c r="P77" s="124"/>
      <c r="Q77" s="219"/>
      <c r="R77" s="220"/>
      <c r="S77" s="223"/>
      <c r="T77" s="224"/>
      <c r="U77" s="224"/>
      <c r="V77" s="226"/>
      <c r="W77" s="229"/>
      <c r="X77" s="230"/>
      <c r="Y77" s="231"/>
      <c r="Z77" s="29"/>
      <c r="AA77" s="29"/>
      <c r="AB77" s="132"/>
      <c r="AC77" s="29"/>
      <c r="AD77" s="29"/>
      <c r="AE77" s="13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1:63" ht="11.25" customHeight="1">
      <c r="A78" s="126">
        <f>Y78</f>
        <v>19</v>
      </c>
      <c r="B78" s="2" t="str">
        <f>F76</f>
        <v>S0029</v>
      </c>
      <c r="D78" s="2" t="str">
        <f>F80</f>
        <v>M0008</v>
      </c>
      <c r="F78" s="2" t="str">
        <f>IF(A78=0,IF(AND(LEN(B78)&gt;0,LEN(D78)=0),B78,IF(AND(LEN(D78)&gt;0,LEN(B78)=0),D78,"")),IF((VLOOKUP(A78,'[1]plan gier'!$X:$AF,7,FALSE))="","",VLOOKUP(VLOOKUP(A78,'[1]plan gier'!$X:$AF,7,FALSE),'[1]zawodnicy'!$A:$E,1,FALSE)))</f>
        <v>M0008</v>
      </c>
      <c r="H78" s="2" t="str">
        <f>IF(A78=0,"",IF((VLOOKUP(A78,'[1]plan gier'!$X:$AF,7,FALSE))="","",VLOOKUP(A78,'[1]plan gier'!$X:$AF,9,FALSE)))</f>
        <v>21:4,21:4</v>
      </c>
      <c r="J78" s="123"/>
      <c r="L78" s="40" t="str">
        <f>IF(A78=0,"",IF(VLOOKUP(A78,'[1]plan gier'!A:S,19,FALSE)="","",VLOOKUP(A78,'[1]plan gier'!A:S,19,FALSE)))</f>
        <v>godz.10:20</v>
      </c>
      <c r="M78" s="2" t="str">
        <f>N67</f>
        <v>Runners Up</v>
      </c>
      <c r="N78" s="124"/>
      <c r="O78" s="125"/>
      <c r="P78" s="124"/>
      <c r="S78" s="127"/>
      <c r="T78" s="128"/>
      <c r="U78" s="2"/>
      <c r="V78" s="2"/>
      <c r="W78" s="129"/>
      <c r="X78" s="29"/>
      <c r="Y78" s="130">
        <v>19</v>
      </c>
      <c r="Z78" s="228" t="str">
        <f>IF(ISBLANK(Y78),IF(AND(LEN(W76)&gt;0,LEN(W80)=0),W76,IF(AND(LEN(W80)&gt;0,LEN(W76)=0),W80,"")),IF((VLOOKUP(Y78,'[1]plan gier'!$X:$AF,7,FALSE))="","",VLOOKUP(VLOOKUP(Y78,'[1]plan gier'!$X:$AF,7,FALSE),'[1]zawodnicy'!$A:$E,3,FALSE)))</f>
        <v>MICHALIK</v>
      </c>
      <c r="AA78" s="228"/>
      <c r="AB78" s="232"/>
      <c r="AC78" s="29"/>
      <c r="AD78" s="29"/>
      <c r="AE78" s="13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10:63" ht="11.25" customHeight="1">
      <c r="J79" s="123"/>
      <c r="N79" s="124"/>
      <c r="O79" s="125"/>
      <c r="P79" s="124"/>
      <c r="S79" s="127"/>
      <c r="T79" s="128"/>
      <c r="U79" s="2"/>
      <c r="V79" s="2"/>
      <c r="W79" s="129"/>
      <c r="X79" s="29"/>
      <c r="Y79" s="131"/>
      <c r="Z79" s="234" t="str">
        <f>IF(ISBLANK(Y78),"",IF((VLOOKUP(Y78,'[1]plan gier'!$X:$AF,7,FALSE))="",L78,VLOOKUP(Y78,'[1]plan gier'!$X:$AF,9,FALSE)))</f>
        <v>21:4,21:4</v>
      </c>
      <c r="AA79" s="234"/>
      <c r="AB79" s="234"/>
      <c r="AC79" s="29"/>
      <c r="AD79" s="29"/>
      <c r="AE79" s="13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1:63" ht="11.25" customHeight="1">
      <c r="A80" s="122">
        <f>V80</f>
        <v>16</v>
      </c>
      <c r="B80" s="2" t="str">
        <f>IF(TYPE(S80)=16,"",S80)</f>
        <v>M0008</v>
      </c>
      <c r="D80" s="2" t="str">
        <f>IF(TYPE(S81)=16,"",S81)</f>
        <v>B0015</v>
      </c>
      <c r="F80" s="2" t="str">
        <f>IF(A80=0,IF(AND(LEN(B80)&gt;0,LEN(D80)=0),VLOOKUP(B80,'[1]zawodnicy'!$A:$E,1,FALSE),IF(AND(LEN(D80)&gt;0,LEN(B80)=0),VLOOKUP(D80,'[1]zawodnicy'!$A:$E,1,FALSE),"")),IF((VLOOKUP(A80,'[1]plan gier'!$X:$AF,7,FALSE))="","",VLOOKUP(VLOOKUP(A80,'[1]plan gier'!$X:$AF,7,FALSE),'[1]zawodnicy'!$A:$E,1,FALSE)))</f>
        <v>M0008</v>
      </c>
      <c r="H80" s="2" t="str">
        <f>IF(A80=0,"",IF((VLOOKUP(A80,'[1]plan gier'!$X:$AF,7,FALSE))="","",VLOOKUP(A80,'[1]plan gier'!$X:$AF,9,FALSE)))</f>
        <v>21:7,21:5</v>
      </c>
      <c r="J80" s="123"/>
      <c r="L80" s="40" t="str">
        <f>IF(A80=0,"",IF(VLOOKUP(A80,'[1]plan gier'!A:S,19,FALSE)="","",VLOOKUP(A80,'[1]plan gier'!A:S,19,FALSE)))</f>
        <v>godz.10:00</v>
      </c>
      <c r="M80" s="2" t="str">
        <f>N67</f>
        <v>Runners Up</v>
      </c>
      <c r="N80" s="124"/>
      <c r="O80" s="125"/>
      <c r="P80" s="124"/>
      <c r="Q80" s="87" t="s">
        <v>41</v>
      </c>
      <c r="S80" s="235" t="str">
        <f>UPPER(IF(N67="","",IF(TYPE(VLOOKUP(2&amp;5&amp;N67,I:J,2,FALSE))=2,VLOOKUP(2&amp;5&amp;N67,I:J,2,FALSE),"")))</f>
        <v>M0008</v>
      </c>
      <c r="T80" s="236"/>
      <c r="U80" s="134" t="str">
        <f>IF(S80&lt;&gt;"",CONCATENATE(VLOOKUP(S80,'[1]zawodnicy'!$A:$E,2,FALSE)," ",VLOOKUP(S80,'[1]zawodnicy'!$A:$E,3,FALSE)," - ",VLOOKUP(S80,'[1]zawodnicy'!$A:$E,4,FALSE)),"")</f>
        <v>Tadeusz MICHALIK - Tarnów</v>
      </c>
      <c r="V80" s="135">
        <v>16</v>
      </c>
      <c r="W80" s="227" t="str">
        <f>IF(ISBLANK(V80),IF(AND(LEN(S80)&gt;0,LEN(S81)=0),VLOOKUP(S80,'[1]zawodnicy'!$A:$E,3,FALSE),IF(AND(LEN(S81)&gt;0,LEN(S80)=0),VLOOKUP(S81,'[1]zawodnicy'!$A:$E,3,FALSE),"")),IF((VLOOKUP(V80,'[1]plan gier'!$X:$AF,7,FALSE))="","",VLOOKUP(VLOOKUP(V80,'[1]plan gier'!$X:$AF,7,FALSE),'[1]zawodnicy'!$A:$E,3,FALSE)))</f>
        <v>MICHALIK</v>
      </c>
      <c r="X80" s="228"/>
      <c r="Y80" s="232"/>
      <c r="Z80" s="2"/>
      <c r="AA80" s="2"/>
      <c r="AB80" s="2"/>
      <c r="AC80" s="234"/>
      <c r="AD80" s="234"/>
      <c r="AE80" s="237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10:63" ht="11.25" customHeight="1">
      <c r="J81" s="123"/>
      <c r="N81" s="124"/>
      <c r="O81" s="125"/>
      <c r="P81" s="124"/>
      <c r="Q81" s="87" t="s">
        <v>42</v>
      </c>
      <c r="S81" s="235" t="str">
        <f>UPPER(IF(N67="","",IF(TYPE(VLOOKUP(2&amp;4&amp;N67,I:J,2,FALSE))=2,VLOOKUP(2&amp;4&amp;N67,I:J,2,FALSE),"")))</f>
        <v>B0015</v>
      </c>
      <c r="T81" s="236"/>
      <c r="U81" s="134" t="str">
        <f>IF(S81&lt;&gt;"",CONCATENATE(VLOOKUP(S81,'[1]zawodnicy'!$A:$E,2,FALSE)," ",VLOOKUP(S81,'[1]zawodnicy'!$A:$E,3,FALSE)," - ",VLOOKUP(S81,'[1]zawodnicy'!$A:$E,4,FALSE)),"")</f>
        <v>Tomasz BARAN - Krosno</v>
      </c>
      <c r="V81" s="136"/>
      <c r="W81" s="233" t="str">
        <f>IF(ISBLANK(V80),"",IF((VLOOKUP(V80,'[1]plan gier'!$X:$AF,7,FALSE))="",L80,VLOOKUP(V80,'[1]plan gier'!$X:$AF,9,FALSE)))</f>
        <v>21:7,21:5</v>
      </c>
      <c r="X81" s="234"/>
      <c r="Y81" s="234"/>
      <c r="Z81" s="2"/>
      <c r="AA81" s="2"/>
      <c r="AB81" s="2"/>
      <c r="AC81" s="29"/>
      <c r="AD81" s="29"/>
      <c r="AE81" s="13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1:63" ht="11.25" customHeight="1">
      <c r="A82" s="137">
        <f>AB82</f>
        <v>25</v>
      </c>
      <c r="B82" s="2" t="str">
        <f>F74</f>
        <v>N0002</v>
      </c>
      <c r="D82" s="2" t="str">
        <f>F90</f>
        <v>M0023</v>
      </c>
      <c r="F82" s="2" t="str">
        <f>IF(A82=0,IF(AND(LEN(B82)&gt;0,LEN(D82)=0),B82,IF(AND(LEN(D82)&gt;0,LEN(B82)=0),D82,"")),IF((VLOOKUP(A82,'[1]plan gier'!$X:$AF,7,FALSE))="","",VLOOKUP(VLOOKUP(A82,'[1]plan gier'!$X:$AF,7,FALSE),'[1]zawodnicy'!$A:$E,1,FALSE)))</f>
        <v>M0023</v>
      </c>
      <c r="H82" s="2" t="str">
        <f>IF(A82=0,"",IF((VLOOKUP(A82,'[1]plan gier'!$X:$AF,7,FALSE))="","",VLOOKUP(A82,'[1]plan gier'!$X:$AF,9,FALSE)))</f>
        <v>21:18,21:11</v>
      </c>
      <c r="J82" s="123"/>
      <c r="L82" s="40" t="str">
        <f>IF(A82=0,"",IF(VLOOKUP(A82,'[1]plan gier'!A:S,19,FALSE)="","",VLOOKUP(A82,'[1]plan gier'!A:S,19,FALSE)))</f>
        <v>godz.11:00</v>
      </c>
      <c r="M82" s="2" t="str">
        <f>N67</f>
        <v>Runners Up</v>
      </c>
      <c r="N82" s="124"/>
      <c r="O82" s="125"/>
      <c r="P82" s="124"/>
      <c r="S82" s="127"/>
      <c r="T82" s="128"/>
      <c r="U82" s="129"/>
      <c r="V82" s="2"/>
      <c r="W82" s="29"/>
      <c r="X82" s="2"/>
      <c r="Y82" s="2"/>
      <c r="Z82" s="2"/>
      <c r="AA82" s="2"/>
      <c r="AB82" s="138">
        <v>25</v>
      </c>
      <c r="AC82" s="228" t="str">
        <f>IF(ISBLANK(AB82),IF(AND(LEN(AC74)&gt;0,LEN(AC90)=0),AC74,IF(AND(LEN(AC90)&gt;0,LEN(AC74)=0),AC90,"")),IF((VLOOKUP(AB82,'[1]plan gier'!$X:$AF,7,FALSE))="","",VLOOKUP(VLOOKUP(AB82,'[1]plan gier'!$X:$AF,7,FALSE),'[1]zawodnicy'!$A:$E,3,FALSE)))</f>
        <v>MALIK</v>
      </c>
      <c r="AD82" s="228"/>
      <c r="AE82" s="23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10:63" ht="11.25" customHeight="1">
      <c r="J83" s="123"/>
      <c r="N83" s="124"/>
      <c r="O83" s="125"/>
      <c r="P83" s="124"/>
      <c r="S83" s="127"/>
      <c r="T83" s="128"/>
      <c r="U83" s="129"/>
      <c r="V83" s="2"/>
      <c r="W83" s="29"/>
      <c r="X83" s="2"/>
      <c r="Y83" s="2"/>
      <c r="Z83" s="2"/>
      <c r="AA83" s="2"/>
      <c r="AB83" s="2"/>
      <c r="AC83" s="234" t="str">
        <f>IF(ISBLANK(AB82),"",IF((VLOOKUP(AB82,'[1]plan gier'!$X:$AF,7,FALSE))="",L82,VLOOKUP(AB82,'[1]plan gier'!$X:$AF,9,FALSE)))</f>
        <v>21:18,21:11</v>
      </c>
      <c r="AD83" s="234"/>
      <c r="AE83" s="237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1:63" ht="11.25" customHeight="1">
      <c r="A84" s="122">
        <f>V84</f>
        <v>17</v>
      </c>
      <c r="B84" s="2" t="str">
        <f>IF(TYPE(S84)=16,"",S84)</f>
        <v>S0033</v>
      </c>
      <c r="D84" s="2" t="str">
        <f>IF(TYPE(S85)=16,"",S85)</f>
        <v>B0016</v>
      </c>
      <c r="F84" s="2" t="str">
        <f>IF(A84=0,IF(AND(LEN(B84)&gt;0,LEN(D84)=0),VLOOKUP(B84,'[1]zawodnicy'!$A:$E,1,FALSE),IF(AND(LEN(D84)&gt;0,LEN(B84)=0),VLOOKUP(D84,'[1]zawodnicy'!$A:$E,1,FALSE),"")),IF((VLOOKUP(A84,'[1]plan gier'!$X:$AF,7,FALSE))="","",VLOOKUP(VLOOKUP(A84,'[1]plan gier'!$X:$AF,7,FALSE),'[1]zawodnicy'!$A:$E,1,FALSE)))</f>
        <v>B0016</v>
      </c>
      <c r="H84" s="2" t="str">
        <f>IF(A84=0,"",IF((VLOOKUP(A84,'[1]plan gier'!$X:$AF,7,FALSE))="","",VLOOKUP(A84,'[1]plan gier'!$X:$AF,9,FALSE)))</f>
        <v>21:19,21:11</v>
      </c>
      <c r="J84" s="123"/>
      <c r="L84" s="40" t="str">
        <f>IF(A84=0,"",IF(VLOOKUP(A84,'[1]plan gier'!A:S,19,FALSE)="","",VLOOKUP(A84,'[1]plan gier'!A:S,19,FALSE)))</f>
        <v>godz.10:20</v>
      </c>
      <c r="M84" s="2" t="str">
        <f>N67</f>
        <v>Runners Up</v>
      </c>
      <c r="N84" s="124"/>
      <c r="O84" s="125"/>
      <c r="P84" s="124"/>
      <c r="Q84" s="87" t="s">
        <v>43</v>
      </c>
      <c r="S84" s="235" t="str">
        <f>UPPER(IF(N67="","",IF(TYPE(VLOOKUP(2&amp;3&amp;N67,I:J,2,FALSE))=2,VLOOKUP(2&amp;3&amp;N67,I:J,2,FALSE),"")))</f>
        <v>S0033</v>
      </c>
      <c r="T84" s="236"/>
      <c r="U84" s="134" t="str">
        <f>IF(S84&lt;&gt;"",CONCATENATE(VLOOKUP(S84,'[1]zawodnicy'!$A:$E,2,FALSE)," ",VLOOKUP(S84,'[1]zawodnicy'!$A:$E,3,FALSE)," - ",VLOOKUP(S84,'[1]zawodnicy'!$A:$E,4,FALSE)),"")</f>
        <v>Mikołaj STRAŻ - Mielec</v>
      </c>
      <c r="V84" s="135">
        <v>17</v>
      </c>
      <c r="W84" s="227" t="str">
        <f>IF(ISBLANK(V84),IF(AND(LEN(S84)&gt;0,LEN(S85)=0),VLOOKUP(S84,'[1]zawodnicy'!$A:$E,3,FALSE),IF(AND(LEN(S85)&gt;0,LEN(S84)=0),VLOOKUP(S85,'[1]zawodnicy'!$A:$E,3,FALSE),"")),IF((VLOOKUP(V84,'[1]plan gier'!$X:$AF,7,FALSE))="","",VLOOKUP(VLOOKUP(V84,'[1]plan gier'!$X:$AF,7,FALSE),'[1]zawodnicy'!$A:$E,3,FALSE)))</f>
        <v>BIELSKI</v>
      </c>
      <c r="X84" s="228"/>
      <c r="Y84" s="228"/>
      <c r="Z84" s="2"/>
      <c r="AA84" s="2"/>
      <c r="AB84" s="2"/>
      <c r="AC84" s="29"/>
      <c r="AD84" s="29"/>
      <c r="AE84" s="13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10:63" ht="11.25" customHeight="1">
      <c r="J85" s="123"/>
      <c r="N85" s="124"/>
      <c r="O85" s="125"/>
      <c r="P85" s="124"/>
      <c r="Q85" s="87" t="s">
        <v>44</v>
      </c>
      <c r="S85" s="235" t="str">
        <f>UPPER(IF(N67="","",IF(TYPE(VLOOKUP(2&amp;2&amp;N67,I:J,2,FALSE))=2,VLOOKUP(2&amp;2&amp;N67,I:J,2,FALSE),"")))</f>
        <v>B0016</v>
      </c>
      <c r="T85" s="236"/>
      <c r="U85" s="134" t="str">
        <f>IF(S85&lt;&gt;"",CONCATENATE(VLOOKUP(S85,'[1]zawodnicy'!$A:$E,2,FALSE)," ",VLOOKUP(S85,'[1]zawodnicy'!$A:$E,3,FALSE)," - ",VLOOKUP(S85,'[1]zawodnicy'!$A:$E,4,FALSE)),"")</f>
        <v>Krzysztof BIELSKI - Krosno</v>
      </c>
      <c r="V85" s="136"/>
      <c r="W85" s="229" t="str">
        <f>IF(ISBLANK(V84),"",IF((VLOOKUP(V84,'[1]plan gier'!$X:$AF,7,FALSE))="",L84,VLOOKUP(V84,'[1]plan gier'!$X:$AF,9,FALSE)))</f>
        <v>21:19,21:11</v>
      </c>
      <c r="X85" s="230"/>
      <c r="Y85" s="231"/>
      <c r="Z85" s="2"/>
      <c r="AA85" s="2"/>
      <c r="AB85" s="2"/>
      <c r="AC85" s="29"/>
      <c r="AD85" s="29"/>
      <c r="AE85" s="13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</row>
    <row r="86" spans="1:63" ht="11.25" customHeight="1">
      <c r="A86" s="126">
        <f>Y86</f>
        <v>20</v>
      </c>
      <c r="B86" s="2" t="str">
        <f>F84</f>
        <v>B0016</v>
      </c>
      <c r="D86" s="2" t="str">
        <f>F88</f>
        <v>S0020</v>
      </c>
      <c r="F86" s="2" t="str">
        <f>IF(A86=0,IF(AND(LEN(B86)&gt;0,LEN(D86)=0),B86,IF(AND(LEN(D86)&gt;0,LEN(B86)=0),D86,"")),IF((VLOOKUP(A86,'[1]plan gier'!$X:$AF,7,FALSE))="","",VLOOKUP(VLOOKUP(A86,'[1]plan gier'!$X:$AF,7,FALSE),'[1]zawodnicy'!$A:$E,1,FALSE)))</f>
        <v>S0020</v>
      </c>
      <c r="H86" s="2" t="str">
        <f>IF(A86=0,"",IF((VLOOKUP(A86,'[1]plan gier'!$X:$AF,7,FALSE))="","",VLOOKUP(A86,'[1]plan gier'!$X:$AF,9,FALSE)))</f>
        <v>21:10,21:11</v>
      </c>
      <c r="J86" s="123"/>
      <c r="L86" s="40" t="str">
        <f>IF(A86=0,"",IF(VLOOKUP(A86,'[1]plan gier'!A:S,19,FALSE)="","",VLOOKUP(A86,'[1]plan gier'!A:S,19,FALSE)))</f>
        <v>godz.10:20</v>
      </c>
      <c r="M86" s="2" t="str">
        <f>N67</f>
        <v>Runners Up</v>
      </c>
      <c r="N86" s="124"/>
      <c r="O86" s="125"/>
      <c r="P86" s="124"/>
      <c r="S86" s="127"/>
      <c r="T86" s="128"/>
      <c r="U86" s="2"/>
      <c r="V86" s="2"/>
      <c r="W86" s="129"/>
      <c r="X86" s="29"/>
      <c r="Y86" s="130">
        <v>20</v>
      </c>
      <c r="Z86" s="234" t="str">
        <f>IF(ISBLANK(Y86),IF(AND(LEN(W84)&gt;0,LEN(W88)=0),W84,IF(AND(LEN(W88)&gt;0,LEN(W84)=0),W88,"")),IF((VLOOKUP(Y86,'[1]plan gier'!$X:$AF,7,FALSE))="","",VLOOKUP(VLOOKUP(Y86,'[1]plan gier'!$X:$AF,7,FALSE),'[1]zawodnicy'!$A:$E,3,FALSE)))</f>
        <v>SŁOMBA</v>
      </c>
      <c r="AA86" s="234"/>
      <c r="AB86" s="234"/>
      <c r="AC86" s="29"/>
      <c r="AD86" s="29"/>
      <c r="AE86" s="13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10:63" ht="11.25" customHeight="1">
      <c r="J87" s="123"/>
      <c r="N87" s="124"/>
      <c r="O87" s="125"/>
      <c r="P87" s="124"/>
      <c r="S87" s="127"/>
      <c r="T87" s="128"/>
      <c r="U87" s="2"/>
      <c r="V87" s="2"/>
      <c r="W87" s="129"/>
      <c r="X87" s="29"/>
      <c r="Y87" s="131"/>
      <c r="Z87" s="230" t="str">
        <f>IF(ISBLANK(Y86),"",IF((VLOOKUP(Y86,'[1]plan gier'!$X:$AF,7,FALSE))="",L86,VLOOKUP(Y86,'[1]plan gier'!$X:$AF,9,FALSE)))</f>
        <v>21:10,21:11</v>
      </c>
      <c r="AA87" s="230"/>
      <c r="AB87" s="231"/>
      <c r="AC87" s="29"/>
      <c r="AD87" s="29"/>
      <c r="AE87" s="13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1:63" ht="11.25" customHeight="1">
      <c r="A88" s="122">
        <f>V88</f>
        <v>0</v>
      </c>
      <c r="B88" s="2" t="str">
        <f>IF(TYPE(S88)=16,"",S88)</f>
        <v>S0020</v>
      </c>
      <c r="F88" s="2" t="str">
        <f>IF(A88=0,IF(AND(LEN(B88)&gt;0,LEN(D88)=0),VLOOKUP(B88,'[1]zawodnicy'!$A:$E,1,FALSE),IF(AND(LEN(D88)&gt;0,LEN(B88)=0),VLOOKUP(D88,'[1]zawodnicy'!$A:$E,1,FALSE),"")),IF((VLOOKUP(A88,'[1]plan gier'!$X:$AF,7,FALSE))="","",VLOOKUP(VLOOKUP(A88,'[1]plan gier'!$X:$AF,7,FALSE),'[1]zawodnicy'!$A:$E,1,FALSE)))</f>
        <v>S0020</v>
      </c>
      <c r="H88" s="2">
        <f>IF(A88=0,"",IF((VLOOKUP(A88,'[1]plan gier'!$X:$AF,7,FALSE))="","",VLOOKUP(A88,'[1]plan gier'!$X:$AF,9,FALSE)))</f>
      </c>
      <c r="J88" s="123"/>
      <c r="L88" s="40">
        <f>IF(A88=0,"",IF(VLOOKUP(A88,'[1]plan gier'!A:S,19,FALSE)="","",VLOOKUP(A88,'[1]plan gier'!A:S,19,FALSE)))</f>
      </c>
      <c r="M88" s="2" t="str">
        <f>N67</f>
        <v>Runners Up</v>
      </c>
      <c r="N88" s="124"/>
      <c r="O88" s="125"/>
      <c r="P88" s="124"/>
      <c r="Q88" s="219" t="s">
        <v>45</v>
      </c>
      <c r="R88" s="220"/>
      <c r="S88" s="221" t="str">
        <f>UPPER(IF(N67="","",IF(TYPE(VLOOKUP(1&amp;4&amp;N67,I:J,2,FALSE))=2,VLOOKUP(1&amp;4&amp;N67,I:J,2,FALSE),"")))</f>
        <v>S0020</v>
      </c>
      <c r="T88" s="222"/>
      <c r="U88" s="222" t="str">
        <f>IF(S88&lt;&gt;"",CONCATENATE(VLOOKUP(S88,'[1]zawodnicy'!$A:$E,2,FALSE)," ",VLOOKUP(S88,'[1]zawodnicy'!$A:$E,3,FALSE)," - ",VLOOKUP(S88,'[1]zawodnicy'!$A:$E,4,FALSE)),"")</f>
        <v>Mariusz SŁOMBA - Mielec</v>
      </c>
      <c r="V88" s="225"/>
      <c r="W88" s="227" t="str">
        <f>IF(ISBLANK(V88),IF(AND(LEN(S88)&gt;0,LEN(S89)=0),VLOOKUP(S88,'[1]zawodnicy'!$A:$E,3,FALSE),IF(AND(LEN(S89)&gt;0,LEN(S88)=0),VLOOKUP(S89,'[1]zawodnicy'!$A:$E,3,FALSE),"")),IF((VLOOKUP(V88,'[1]plan gier'!$X:$AF,7,FALSE))="","",VLOOKUP(VLOOKUP(V88,'[1]plan gier'!$X:$AF,7,FALSE),'[1]zawodnicy'!$A:$E,3,FALSE)))</f>
        <v>SŁOMBA</v>
      </c>
      <c r="X88" s="228"/>
      <c r="Y88" s="232"/>
      <c r="Z88" s="29"/>
      <c r="AA88" s="29"/>
      <c r="AB88" s="132"/>
      <c r="AC88" s="29"/>
      <c r="AD88" s="29"/>
      <c r="AE88" s="13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  <row r="89" spans="10:63" ht="11.25" customHeight="1">
      <c r="J89" s="123"/>
      <c r="N89" s="124"/>
      <c r="O89" s="125"/>
      <c r="P89" s="124"/>
      <c r="Q89" s="219"/>
      <c r="R89" s="220"/>
      <c r="S89" s="223"/>
      <c r="T89" s="224"/>
      <c r="U89" s="224"/>
      <c r="V89" s="226"/>
      <c r="W89" s="233"/>
      <c r="X89" s="234"/>
      <c r="Y89" s="234"/>
      <c r="Z89" s="29"/>
      <c r="AA89" s="29"/>
      <c r="AB89" s="132"/>
      <c r="AC89" s="29"/>
      <c r="AD89" s="29"/>
      <c r="AE89" s="13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</row>
    <row r="90" spans="1:63" ht="11.25" customHeight="1">
      <c r="A90" s="133">
        <f>AB90</f>
        <v>23</v>
      </c>
      <c r="B90" s="2" t="str">
        <f>F86</f>
        <v>S0020</v>
      </c>
      <c r="D90" s="2" t="str">
        <f>F94</f>
        <v>M0023</v>
      </c>
      <c r="F90" s="2" t="str">
        <f>IF(A90=0,IF(AND(LEN(B90)&gt;0,LEN(D90)=0),B90,IF(AND(LEN(D90)&gt;0,LEN(B90)=0),D90,"")),IF((VLOOKUP(A90,'[1]plan gier'!$X:$AF,7,FALSE))="","",VLOOKUP(VLOOKUP(A90,'[1]plan gier'!$X:$AF,7,FALSE),'[1]zawodnicy'!$A:$E,1,FALSE)))</f>
        <v>M0023</v>
      </c>
      <c r="H90" s="2" t="str">
        <f>IF(A90=0,"",IF((VLOOKUP(A90,'[1]plan gier'!$X:$AF,7,FALSE))="","",VLOOKUP(A90,'[1]plan gier'!$X:$AF,9,FALSE)))</f>
        <v>21:15,21:19</v>
      </c>
      <c r="J90" s="123"/>
      <c r="L90" s="40" t="str">
        <f>IF(A90=0,"",IF(VLOOKUP(A90,'[1]plan gier'!A:S,19,FALSE)="","",VLOOKUP(A90,'[1]plan gier'!A:S,19,FALSE)))</f>
        <v>godz.10:40</v>
      </c>
      <c r="M90" s="2" t="str">
        <f>N67</f>
        <v>Runners Up</v>
      </c>
      <c r="N90" s="124"/>
      <c r="O90" s="125"/>
      <c r="P90" s="124"/>
      <c r="S90" s="127"/>
      <c r="T90" s="128"/>
      <c r="U90" s="129"/>
      <c r="V90" s="2"/>
      <c r="W90" s="29"/>
      <c r="X90" s="2"/>
      <c r="Y90" s="2"/>
      <c r="Z90" s="29"/>
      <c r="AA90" s="29"/>
      <c r="AB90" s="130">
        <v>23</v>
      </c>
      <c r="AC90" s="228" t="str">
        <f>IF(ISBLANK(AB90),IF(AND(LEN(Z86)&gt;0,LEN(Z94)=0),Z86,IF(AND(LEN(Z94)&gt;0,LEN(Z86)=0),Z94,"")),IF((VLOOKUP(AB90,'[1]plan gier'!$X:$AF,7,FALSE))="","",VLOOKUP(VLOOKUP(AB90,'[1]plan gier'!$X:$AF,7,FALSE),'[1]zawodnicy'!$A:$E,3,FALSE)))</f>
        <v>MALIK</v>
      </c>
      <c r="AD90" s="228"/>
      <c r="AE90" s="23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</row>
    <row r="91" spans="10:63" ht="11.25" customHeight="1">
      <c r="J91" s="123"/>
      <c r="N91" s="124"/>
      <c r="O91" s="125"/>
      <c r="P91" s="124"/>
      <c r="S91" s="127"/>
      <c r="T91" s="128"/>
      <c r="U91" s="129"/>
      <c r="V91" s="2"/>
      <c r="W91" s="29"/>
      <c r="X91" s="2"/>
      <c r="Y91" s="2"/>
      <c r="Z91" s="29"/>
      <c r="AA91" s="29"/>
      <c r="AB91" s="131"/>
      <c r="AC91" s="230" t="str">
        <f>IF(ISBLANK(AB90),"",IF((VLOOKUP(AB90,'[1]plan gier'!$X:$AF,7,FALSE))="",L90,VLOOKUP(AB90,'[1]plan gier'!$X:$AF,9,FALSE)))</f>
        <v>21:15,21:19</v>
      </c>
      <c r="AD91" s="230"/>
      <c r="AE91" s="230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1:63" ht="11.25" customHeight="1">
      <c r="A92" s="122">
        <f>V92</f>
        <v>0</v>
      </c>
      <c r="B92" s="2" t="str">
        <f>IF(TYPE(S92)=16,"",S92)</f>
        <v>M0005</v>
      </c>
      <c r="F92" s="2" t="str">
        <f>IF(A92=0,IF(AND(LEN(B92)&gt;0,LEN(D92)=0),VLOOKUP(B92,'[1]zawodnicy'!$A:$E,1,FALSE),IF(AND(LEN(D92)&gt;0,LEN(B92)=0),VLOOKUP(D92,'[1]zawodnicy'!$A:$E,1,FALSE),"")),IF((VLOOKUP(A92,'[1]plan gier'!$X:$AF,7,FALSE))="","",VLOOKUP(VLOOKUP(A92,'[1]plan gier'!$X:$AF,7,FALSE),'[1]zawodnicy'!$A:$E,1,FALSE)))</f>
        <v>M0005</v>
      </c>
      <c r="H92" s="2">
        <f>IF(A92=0,"",IF((VLOOKUP(A92,'[1]plan gier'!$X:$AF,7,FALSE))="","",VLOOKUP(A92,'[1]plan gier'!$X:$AF,9,FALSE)))</f>
      </c>
      <c r="J92" s="123"/>
      <c r="L92" s="40">
        <f>IF(A92=0,"",IF(VLOOKUP(A92,'[1]plan gier'!A:S,19,FALSE)="","",VLOOKUP(A92,'[1]plan gier'!A:S,19,FALSE)))</f>
      </c>
      <c r="M92" s="2" t="str">
        <f>N67</f>
        <v>Runners Up</v>
      </c>
      <c r="N92" s="124"/>
      <c r="O92" s="125"/>
      <c r="P92" s="124"/>
      <c r="Q92" s="219" t="s">
        <v>46</v>
      </c>
      <c r="R92" s="220"/>
      <c r="S92" s="221" t="str">
        <f>UPPER(IF(N67="","",IF(TYPE(VLOOKUP(2&amp;1&amp;N67,I:J,2,FALSE))=2,VLOOKUP(2&amp;1&amp;N67,I:J,2,FALSE),"")))</f>
        <v>M0005</v>
      </c>
      <c r="T92" s="222"/>
      <c r="U92" s="222" t="str">
        <f>IF(S92&lt;&gt;"",CONCATENATE(VLOOKUP(S92,'[1]zawodnicy'!$A:$E,2,FALSE)," ",VLOOKUP(S92,'[1]zawodnicy'!$A:$E,3,FALSE)," - ",VLOOKUP(S92,'[1]zawodnicy'!$A:$E,4,FALSE)),"")</f>
        <v>Piotr MALIK - Tarnobrzeg</v>
      </c>
      <c r="V92" s="225"/>
      <c r="W92" s="227" t="str">
        <f>IF(ISBLANK(V92),IF(AND(LEN(S92)&gt;0,LEN(S93)=0),VLOOKUP(S92,'[1]zawodnicy'!$A:$E,3,FALSE),IF(AND(LEN(S93)&gt;0,LEN(S92)=0),VLOOKUP(S93,'[1]zawodnicy'!$A:$E,3,FALSE),"")),IF((VLOOKUP(V92,'[1]plan gier'!$X:$AF,7,FALSE))="","",VLOOKUP(VLOOKUP(V92,'[1]plan gier'!$X:$AF,7,FALSE),'[1]zawodnicy'!$A:$E,3,FALSE)))</f>
        <v>MALIK</v>
      </c>
      <c r="X92" s="228"/>
      <c r="Y92" s="228"/>
      <c r="Z92" s="29"/>
      <c r="AA92" s="29"/>
      <c r="AB92" s="13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spans="10:63" ht="11.25" customHeight="1">
      <c r="J93" s="123"/>
      <c r="N93" s="124"/>
      <c r="O93" s="125"/>
      <c r="P93" s="124"/>
      <c r="Q93" s="219"/>
      <c r="R93" s="220"/>
      <c r="S93" s="223"/>
      <c r="T93" s="224"/>
      <c r="U93" s="224"/>
      <c r="V93" s="226"/>
      <c r="W93" s="229"/>
      <c r="X93" s="230"/>
      <c r="Y93" s="231"/>
      <c r="Z93" s="29"/>
      <c r="AA93" s="29"/>
      <c r="AB93" s="13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</row>
    <row r="94" spans="1:63" ht="11.25" customHeight="1">
      <c r="A94" s="126">
        <f>Y94</f>
        <v>21</v>
      </c>
      <c r="B94" s="2" t="str">
        <f>F92</f>
        <v>M0005</v>
      </c>
      <c r="D94" s="2" t="str">
        <f>F96</f>
        <v>M0023</v>
      </c>
      <c r="F94" s="2" t="str">
        <f>IF(A94=0,IF(AND(LEN(B94)&gt;0,LEN(D94)=0),B94,IF(AND(LEN(D94)&gt;0,LEN(B94)=0),D94,"")),IF((VLOOKUP(A94,'[1]plan gier'!$X:$AF,7,FALSE))="","",VLOOKUP(VLOOKUP(A94,'[1]plan gier'!$X:$AF,7,FALSE),'[1]zawodnicy'!$A:$E,1,FALSE)))</f>
        <v>M0023</v>
      </c>
      <c r="H94" s="2" t="str">
        <f>IF(A94=0,"",IF((VLOOKUP(A94,'[1]plan gier'!$X:$AF,7,FALSE))="","",VLOOKUP(A94,'[1]plan gier'!$X:$AF,9,FALSE)))</f>
        <v>21:15,21:10</v>
      </c>
      <c r="J94" s="123"/>
      <c r="L94" s="40" t="str">
        <f>IF(A94=0,"",IF(VLOOKUP(A94,'[1]plan gier'!A:S,19,FALSE)="","",VLOOKUP(A94,'[1]plan gier'!A:S,19,FALSE)))</f>
        <v>godz.10:40</v>
      </c>
      <c r="M94" s="2" t="str">
        <f>N67</f>
        <v>Runners Up</v>
      </c>
      <c r="N94" s="124"/>
      <c r="O94" s="125"/>
      <c r="P94" s="124"/>
      <c r="S94" s="127"/>
      <c r="T94" s="128"/>
      <c r="U94" s="2"/>
      <c r="V94" s="2"/>
      <c r="W94" s="129"/>
      <c r="X94" s="29"/>
      <c r="Y94" s="130">
        <v>21</v>
      </c>
      <c r="Z94" s="228" t="str">
        <f>IF(ISBLANK(Y94),IF(AND(LEN(W92)&gt;0,LEN(W96)=0),W92,IF(AND(LEN(W96)&gt;0,LEN(W92)=0),W96,"")),IF((VLOOKUP(Y94,'[1]plan gier'!$X:$AF,7,FALSE))="","",VLOOKUP(VLOOKUP(Y94,'[1]plan gier'!$X:$AF,7,FALSE),'[1]zawodnicy'!$A:$E,3,FALSE)))</f>
        <v>MALIK</v>
      </c>
      <c r="AA94" s="228"/>
      <c r="AB94" s="23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10:63" ht="11.25" customHeight="1">
      <c r="J95" s="123"/>
      <c r="N95" s="124"/>
      <c r="O95" s="125"/>
      <c r="P95" s="124"/>
      <c r="S95" s="127"/>
      <c r="T95" s="128"/>
      <c r="U95" s="2"/>
      <c r="V95" s="2"/>
      <c r="W95" s="129"/>
      <c r="X95" s="29"/>
      <c r="Y95" s="131"/>
      <c r="Z95" s="234" t="str">
        <f>IF(ISBLANK(Y94),"",IF((VLOOKUP(Y94,'[1]plan gier'!$X:$AF,7,FALSE))="",L94,VLOOKUP(Y94,'[1]plan gier'!$X:$AF,9,FALSE)))</f>
        <v>21:15,21:10</v>
      </c>
      <c r="AA95" s="234"/>
      <c r="AB95" s="234"/>
      <c r="AC95" s="139"/>
      <c r="AD95" s="139"/>
      <c r="AE95" s="139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</row>
    <row r="96" spans="1:63" ht="11.25" customHeight="1">
      <c r="A96" s="122">
        <f>V96</f>
        <v>0</v>
      </c>
      <c r="B96" s="2" t="str">
        <f>IF(TYPE(S96)=16,"",S96)</f>
        <v>M0023</v>
      </c>
      <c r="F96" s="2" t="str">
        <f>IF(A96=0,IF(AND(LEN(B96)&gt;0,LEN(D96)=0),VLOOKUP(B96,'[1]zawodnicy'!$A:$E,1,FALSE),IF(AND(LEN(D96)&gt;0,LEN(B96)=0),VLOOKUP(D96,'[1]zawodnicy'!$A:$E,1,FALSE),"")),IF((VLOOKUP(A96,'[1]plan gier'!$X:$AF,7,FALSE))="","",VLOOKUP(VLOOKUP(A96,'[1]plan gier'!$X:$AF,7,FALSE),'[1]zawodnicy'!$A:$E,1,FALSE)))</f>
        <v>M0023</v>
      </c>
      <c r="H96" s="2">
        <f>IF(A96=0,"",IF((VLOOKUP(A96,'[1]plan gier'!$X:$AF,7,FALSE))="","",VLOOKUP(A96,'[1]plan gier'!$X:$AF,9,FALSE)))</f>
      </c>
      <c r="J96" s="123"/>
      <c r="L96" s="40">
        <f>IF(A96=0,"",IF(VLOOKUP(A96,'[1]plan gier'!A:S,19,FALSE)="","",VLOOKUP(A96,'[1]plan gier'!A:S,19,FALSE)))</f>
      </c>
      <c r="M96" s="2" t="str">
        <f>N67</f>
        <v>Runners Up</v>
      </c>
      <c r="N96" s="124"/>
      <c r="O96" s="125"/>
      <c r="P96" s="124"/>
      <c r="Q96" s="219" t="s">
        <v>47</v>
      </c>
      <c r="R96" s="220"/>
      <c r="S96" s="221" t="str">
        <f>UPPER(IF(N67="","",IF(TYPE(VLOOKUP(1&amp;5&amp;N67,I:J,2,FALSE))=2,VLOOKUP(1&amp;5&amp;N67,I:J,2,FALSE),"")))</f>
        <v>M0023</v>
      </c>
      <c r="T96" s="222"/>
      <c r="U96" s="222" t="str">
        <f>IF(S96&lt;&gt;"",CONCATENATE(VLOOKUP(S96,'[1]zawodnicy'!$A:$E,2,FALSE)," ",VLOOKUP(S96,'[1]zawodnicy'!$A:$E,3,FALSE)," - ",VLOOKUP(S96,'[1]zawodnicy'!$A:$E,4,FALSE)),"")</f>
        <v>Tymoteusz MALIK - Tarnobrzeg</v>
      </c>
      <c r="V96" s="225"/>
      <c r="W96" s="227" t="str">
        <f>IF(ISBLANK(V96),IF(AND(LEN(S96)&gt;0,LEN(S97)=0),VLOOKUP(S96,'[1]zawodnicy'!$A:$E,3,FALSE),IF(AND(LEN(S97)&gt;0,LEN(S96)=0),VLOOKUP(S97,'[1]zawodnicy'!$A:$E,3,FALSE),"")),IF((VLOOKUP(V96,'[1]plan gier'!$X:$AF,7,FALSE))="","",VLOOKUP(VLOOKUP(V96,'[1]plan gier'!$X:$AF,7,FALSE),'[1]zawodnicy'!$A:$E,3,FALSE)))</f>
        <v>MALIK</v>
      </c>
      <c r="X96" s="228"/>
      <c r="Y96" s="232"/>
      <c r="Z96" s="2"/>
      <c r="AA96" s="11"/>
      <c r="AB96" s="11"/>
      <c r="AC96" s="11"/>
      <c r="AD96" s="11"/>
      <c r="AE96" s="11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</row>
    <row r="97" spans="10:63" ht="11.25" customHeight="1">
      <c r="J97" s="123"/>
      <c r="N97" s="124"/>
      <c r="O97" s="125"/>
      <c r="P97" s="124"/>
      <c r="Q97" s="219"/>
      <c r="R97" s="220"/>
      <c r="S97" s="223"/>
      <c r="T97" s="224"/>
      <c r="U97" s="224"/>
      <c r="V97" s="226"/>
      <c r="W97" s="233"/>
      <c r="X97" s="234"/>
      <c r="Y97" s="234"/>
      <c r="Z97" s="2"/>
      <c r="AA97" s="89"/>
      <c r="AB97" s="89"/>
      <c r="AC97" s="89"/>
      <c r="AD97" s="89"/>
      <c r="AE97" s="89"/>
      <c r="AF97" s="52"/>
      <c r="AG97" s="140"/>
      <c r="AH97" s="140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</row>
    <row r="98" spans="10:63" ht="11.25" customHeight="1">
      <c r="J98" s="123"/>
      <c r="N98" s="124"/>
      <c r="O98" s="125"/>
      <c r="P98" s="124"/>
      <c r="R98" s="52"/>
      <c r="S98" s="141"/>
      <c r="T98" s="141"/>
      <c r="U98" s="141"/>
      <c r="V98" s="141"/>
      <c r="W98" s="129"/>
      <c r="X98" s="129"/>
      <c r="Y98" s="129"/>
      <c r="Z98" s="2"/>
      <c r="AA98" s="89"/>
      <c r="AB98" s="89"/>
      <c r="AC98" s="89"/>
      <c r="AD98" s="89"/>
      <c r="AE98" s="89"/>
      <c r="AF98" s="52"/>
      <c r="AG98" s="140"/>
      <c r="AH98" s="140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10:63" ht="11.25" customHeight="1">
      <c r="J99" s="123"/>
      <c r="N99" s="124"/>
      <c r="O99" s="125"/>
      <c r="P99" s="124"/>
      <c r="R99" s="52"/>
      <c r="S99" s="141"/>
      <c r="T99" s="141"/>
      <c r="U99" s="141" t="s">
        <v>48</v>
      </c>
      <c r="V99" s="141"/>
      <c r="W99" s="129"/>
      <c r="X99" s="129"/>
      <c r="Y99" s="129"/>
      <c r="Z99" s="2"/>
      <c r="AA99" s="89"/>
      <c r="AB99" s="89"/>
      <c r="AC99" s="89"/>
      <c r="AD99" s="89"/>
      <c r="AE99" s="89"/>
      <c r="AF99" s="52"/>
      <c r="AG99" s="140"/>
      <c r="AH99" s="140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</row>
    <row r="100" spans="10:63" ht="11.25" customHeight="1">
      <c r="J100" s="2"/>
      <c r="K100" s="2"/>
      <c r="L100" s="2"/>
      <c r="M100" s="142"/>
      <c r="N100" s="143" t="str">
        <f>M102</f>
        <v>Runners Up</v>
      </c>
      <c r="O100" s="119"/>
      <c r="P100" s="119"/>
      <c r="Q100" s="1"/>
      <c r="R100" s="1"/>
      <c r="S100" s="234" t="s">
        <v>49</v>
      </c>
      <c r="T100" s="234"/>
      <c r="U100" s="234"/>
      <c r="V100" s="234"/>
      <c r="W100" s="234" t="s">
        <v>50</v>
      </c>
      <c r="X100" s="234"/>
      <c r="Y100" s="234"/>
      <c r="Z100" s="234"/>
      <c r="AA100" s="234"/>
      <c r="AB100" s="234"/>
      <c r="AC100" s="129"/>
      <c r="AD100" s="129"/>
      <c r="AE100" s="129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</row>
    <row r="101" spans="10:63" ht="11.25" customHeight="1">
      <c r="J101" s="2"/>
      <c r="K101" s="2"/>
      <c r="L101" s="2"/>
      <c r="N101" s="143" t="s">
        <v>51</v>
      </c>
      <c r="P101" s="119"/>
      <c r="Q101" s="1"/>
      <c r="R101" s="1"/>
      <c r="S101" s="1"/>
      <c r="T101" s="120"/>
      <c r="U101" s="121"/>
      <c r="V101" s="121"/>
      <c r="W101" s="121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</row>
    <row r="102" spans="1:63" ht="11.25" customHeight="1">
      <c r="A102" s="122">
        <f>V102</f>
        <v>24</v>
      </c>
      <c r="B102" s="2" t="str">
        <f>IF(S102="","",S102)</f>
        <v>M0008</v>
      </c>
      <c r="D102" s="2" t="str">
        <f>IF(S103="","",S103)</f>
        <v>S0020</v>
      </c>
      <c r="F102" s="2" t="str">
        <f>IF(A102=0,IF(AND(LEN(B102)&gt;0,LEN(D102)=0),VLOOKUP(B102,'[1]zawodnicy'!$A:$E,1,FALSE),IF(AND(LEN(D102)&gt;0,LEN(B102)=0),VLOOKUP(D102,'[1]zawodnicy'!$A:$E,1,FALSE),"")),IF((VLOOKUP(A102,'[1]plan gier'!$X:$AF,7,FALSE))="","",VLOOKUP(VLOOKUP(A102,'[1]plan gier'!$X:$AF,7,FALSE),'[1]zawodnicy'!$A:$E,1,FALSE)))</f>
        <v>M0008</v>
      </c>
      <c r="H102" s="2" t="str">
        <f>IF(A102=0,"",IF((VLOOKUP(A102,'[1]plan gier'!$X:$AF,7,FALSE))="","",VLOOKUP(A102,'[1]plan gier'!$X:$AF,9,FALSE)))</f>
        <v>21:15,18:21,21:9</v>
      </c>
      <c r="J102" s="123"/>
      <c r="K102" s="123"/>
      <c r="L102" s="144" t="str">
        <f>IF(A102=0,"",IF(VLOOKUP(A102,'[1]plan gier'!A:S,19,FALSE)="","",VLOOKUP(A102,'[1]plan gier'!A:S,19,FALSE)))</f>
        <v>godz.10:40</v>
      </c>
      <c r="M102" s="2" t="str">
        <f>IF(N102="","",VLOOKUP(N102,A:M,13,FALSE))</f>
        <v>Runners Up</v>
      </c>
      <c r="N102" s="145">
        <v>22</v>
      </c>
      <c r="O102" s="146"/>
      <c r="P102" s="124"/>
      <c r="S102" s="235" t="str">
        <f>IF(N102="","",IF(LEN(VLOOKUP(N102,A:M,6,FALSE))=0,"",IF(VLOOKUP(N102,A:M,6,FALSE)=VLOOKUP(N102,A:M,2,FALSE),VLOOKUP(N102,A:M,4,FALSE),VLOOKUP(N102,A:M,2,FALSE))))</f>
        <v>M0008</v>
      </c>
      <c r="T102" s="236"/>
      <c r="U102" s="134" t="str">
        <f>IF(S102&lt;&gt;"",CONCATENATE(VLOOKUP(S102,'[1]zawodnicy'!$A:$E,2,FALSE)," ",VLOOKUP(S102,'[1]zawodnicy'!$A:$E,3,FALSE)," - ",VLOOKUP(S102,'[1]zawodnicy'!$A:$E,4,FALSE)),"")</f>
        <v>Tadeusz MICHALIK - Tarnów</v>
      </c>
      <c r="V102" s="135">
        <v>24</v>
      </c>
      <c r="W102" s="227" t="str">
        <f>IF(F102="","",VLOOKUP(F102,'[1]zawodnicy'!$A:$D,3,FALSE))</f>
        <v>MICHALIK</v>
      </c>
      <c r="X102" s="228"/>
      <c r="Y102" s="228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</row>
    <row r="103" spans="10:63" ht="11.25" customHeight="1">
      <c r="J103" s="123"/>
      <c r="K103" s="123"/>
      <c r="L103" s="123"/>
      <c r="N103" s="145">
        <v>23</v>
      </c>
      <c r="O103" s="146"/>
      <c r="P103" s="124"/>
      <c r="S103" s="235" t="str">
        <f>IF(N103="","",IF(LEN(VLOOKUP(N103,A:M,6,FALSE))=0,"",IF(VLOOKUP(N103,A:M,6,FALSE)=VLOOKUP(N103,A:M,2,FALSE),VLOOKUP(N103,A:M,4,FALSE),VLOOKUP(N103,A:M,2,FALSE))))</f>
        <v>S0020</v>
      </c>
      <c r="T103" s="236"/>
      <c r="U103" s="134" t="str">
        <f>IF(S103&lt;&gt;"",CONCATENATE(VLOOKUP(S103,'[1]zawodnicy'!$A:$E,2,FALSE)," ",VLOOKUP(S103,'[1]zawodnicy'!$A:$E,3,FALSE)," - ",VLOOKUP(S103,'[1]zawodnicy'!$A:$E,4,FALSE)),"")</f>
        <v>Mariusz SŁOMBA - Mielec</v>
      </c>
      <c r="V103" s="136"/>
      <c r="W103" s="229" t="str">
        <f>IF(H102="",L102,H102)</f>
        <v>21:15,18:21,21:9</v>
      </c>
      <c r="X103" s="230"/>
      <c r="Y103" s="230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</row>
    <row r="104" spans="10:63" ht="11.25" customHeight="1">
      <c r="J104" s="123"/>
      <c r="N104" s="124"/>
      <c r="O104" s="125"/>
      <c r="P104" s="124"/>
      <c r="R104" s="52"/>
      <c r="S104" s="141"/>
      <c r="T104" s="141"/>
      <c r="U104" s="141"/>
      <c r="V104" s="141"/>
      <c r="W104" s="129"/>
      <c r="X104" s="129"/>
      <c r="Y104" s="129"/>
      <c r="Z104" s="2"/>
      <c r="AA104" s="89"/>
      <c r="AB104" s="89"/>
      <c r="AC104" s="89"/>
      <c r="AD104" s="89"/>
      <c r="AE104" s="89"/>
      <c r="AF104" s="52"/>
      <c r="AG104" s="140"/>
      <c r="AH104" s="140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</row>
    <row r="105" ht="11.25" customHeight="1"/>
    <row r="106" spans="13:31" ht="11.25" customHeight="1">
      <c r="M106" s="9"/>
      <c r="N106" s="10" t="s">
        <v>52</v>
      </c>
      <c r="Q106" s="171" t="str">
        <f>"Gra "&amp;N106</f>
        <v>Gra Kobiet</v>
      </c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</row>
    <row r="107" ht="11.25" customHeight="1" thickBot="1"/>
    <row r="108" spans="14:32" ht="11.25" customHeight="1" thickBot="1">
      <c r="N108" s="8"/>
      <c r="O108" s="14">
        <v>1</v>
      </c>
      <c r="Q108" s="171" t="str">
        <f>"Grupa "&amp;O108&amp;"."</f>
        <v>Grupa 1.</v>
      </c>
      <c r="R108" s="171"/>
      <c r="S108" s="172"/>
      <c r="T108" s="15" t="s">
        <v>2</v>
      </c>
      <c r="U108" s="173" t="s">
        <v>3</v>
      </c>
      <c r="V108" s="174"/>
      <c r="W108" s="15">
        <v>1</v>
      </c>
      <c r="X108" s="17">
        <v>2</v>
      </c>
      <c r="Y108" s="18">
        <v>3</v>
      </c>
      <c r="Z108" s="19" t="s">
        <v>4</v>
      </c>
      <c r="AA108" s="20" t="s">
        <v>5</v>
      </c>
      <c r="AB108" s="20" t="s">
        <v>6</v>
      </c>
      <c r="AC108" s="21" t="s">
        <v>7</v>
      </c>
      <c r="AD108" s="2"/>
      <c r="AE108" s="22"/>
      <c r="AF108" s="22"/>
    </row>
    <row r="109" spans="10:45" ht="11.25" customHeight="1">
      <c r="J109" s="23"/>
      <c r="K109" s="23"/>
      <c r="L109" s="23"/>
      <c r="N109" s="24" t="s">
        <v>52</v>
      </c>
      <c r="Q109" s="175" t="s">
        <v>8</v>
      </c>
      <c r="R109" s="175"/>
      <c r="S109" s="176" t="s">
        <v>9</v>
      </c>
      <c r="T109" s="177">
        <v>1</v>
      </c>
      <c r="U109" s="180">
        <f>IF(AND(N110&lt;&gt;"",N111&lt;&gt;""),CONCATENATE(VLOOKUP(N110,'[1]zawodnicy'!$A:$E,1,FALSE)," ",VLOOKUP(N110,'[1]zawodnicy'!$A:$E,2,FALSE)," ",VLOOKUP(N110,'[1]zawodnicy'!$A:$E,3,FALSE)," - ",VLOOKUP(N110,'[1]zawodnicy'!$A:$E,4,FALSE)),"")</f>
      </c>
      <c r="V109" s="181"/>
      <c r="W109" s="25"/>
      <c r="X109" s="26" t="str">
        <f>IF(SUM(AN114:AO114)=0,"",AN114&amp;":"&amp;AO114)</f>
        <v>11:21</v>
      </c>
      <c r="Y109" s="27" t="str">
        <f>IF(SUM(AN112:AO112)=0,"",AN112&amp;":"&amp;AO112)</f>
        <v>19:21</v>
      </c>
      <c r="Z109" s="177" t="str">
        <f>IF(SUM(AX112:BA112)=0,"",BD112&amp;":"&amp;BE112)</f>
        <v>91:94</v>
      </c>
      <c r="AA109" s="182" t="str">
        <f>IF(SUM(AX112:BA112)=0,"",BF112&amp;":"&amp;BG112)</f>
        <v>2:3</v>
      </c>
      <c r="AB109" s="182" t="str">
        <f>IF(SUM(AX112:BA112)=0,"",BH112&amp;":"&amp;BI112)</f>
        <v>1:1</v>
      </c>
      <c r="AC109" s="185">
        <f>IF(SUM(BH112:BH114)&gt;0,BJ112,"")</f>
        <v>2</v>
      </c>
      <c r="AD109" s="2"/>
      <c r="AE109" s="22"/>
      <c r="AF109" s="22"/>
      <c r="AG109" s="28"/>
      <c r="AH109" s="188" t="s">
        <v>10</v>
      </c>
      <c r="AI109" s="188"/>
      <c r="AJ109" s="188"/>
      <c r="AK109" s="188"/>
      <c r="AL109" s="188"/>
      <c r="AM109" s="188"/>
      <c r="AN109" s="188" t="s">
        <v>11</v>
      </c>
      <c r="AO109" s="188"/>
      <c r="AP109" s="188"/>
      <c r="AQ109" s="188"/>
      <c r="AR109" s="188"/>
      <c r="AS109" s="188"/>
    </row>
    <row r="110" spans="9:59" ht="11.25" customHeight="1" thickBot="1">
      <c r="I110" s="2" t="str">
        <f>"1"&amp;O108&amp;N109</f>
        <v>11Kobiet</v>
      </c>
      <c r="J110" s="29" t="str">
        <f>IF(AC109="","",IF(AC109=1,N110,IF(AC112=1,N113,IF(AC115=1,N116,""))))</f>
        <v>N0005</v>
      </c>
      <c r="K110" s="29">
        <f>IF(AC109="","",IF(AC109=1,N111,IF(AC112=1,N114,IF(AC115=1,N117,""))))</f>
        <v>0</v>
      </c>
      <c r="L110" s="29"/>
      <c r="N110" s="30" t="s">
        <v>53</v>
      </c>
      <c r="O110" s="31">
        <f>IF(O108&gt;0,(O108&amp;1)*1,"")</f>
        <v>11</v>
      </c>
      <c r="Q110" s="175"/>
      <c r="R110" s="175"/>
      <c r="S110" s="176"/>
      <c r="T110" s="178"/>
      <c r="U110" s="189" t="str">
        <f>IF(AND(N110&lt;&gt;"",N111=""),CONCATENATE(VLOOKUP(N110,'[1]zawodnicy'!$A:$E,1,FALSE)," ",VLOOKUP(N110,'[1]zawodnicy'!$A:$E,2,FALSE)," ",VLOOKUP(N110,'[1]zawodnicy'!$A:$E,3,FALSE)," - ",VLOOKUP(N110,'[1]zawodnicy'!$A:$E,4,FALSE)),"")</f>
        <v>J0003 Paulina JANUS - Mielec</v>
      </c>
      <c r="V110" s="190"/>
      <c r="W110" s="32"/>
      <c r="X110" s="33" t="str">
        <f>IF(SUM(AP114:AQ114)=0,"",AP114&amp;":"&amp;AQ114)</f>
        <v>19:21</v>
      </c>
      <c r="Y110" s="34" t="str">
        <f>IF(SUM(AP112:AQ112)=0,"",AP112&amp;":"&amp;AQ112)</f>
        <v>21:17</v>
      </c>
      <c r="Z110" s="178"/>
      <c r="AA110" s="183"/>
      <c r="AB110" s="183"/>
      <c r="AC110" s="186"/>
      <c r="AD110" s="2"/>
      <c r="AE110" s="22"/>
      <c r="AF110" s="22"/>
      <c r="AG110" s="28"/>
      <c r="BD110" s="12">
        <f>SUM(BD112:BD114)</f>
        <v>256</v>
      </c>
      <c r="BE110" s="12">
        <f>SUM(BE112:BE114)</f>
        <v>256</v>
      </c>
      <c r="BF110" s="12">
        <f>SUM(BF112:BF114)</f>
        <v>7</v>
      </c>
      <c r="BG110" s="12">
        <f>SUM(BG112:BG114)</f>
        <v>7</v>
      </c>
    </row>
    <row r="111" spans="10:63" ht="11.25" customHeight="1" thickBot="1">
      <c r="J111" s="29"/>
      <c r="K111" s="23"/>
      <c r="L111" s="23"/>
      <c r="N111" s="35"/>
      <c r="O111" s="23"/>
      <c r="P111" s="23"/>
      <c r="Q111" s="175"/>
      <c r="R111" s="175"/>
      <c r="S111" s="176"/>
      <c r="T111" s="179"/>
      <c r="U111" s="191">
        <f>IF(N111&lt;&gt;"",CONCATENATE(VLOOKUP(N111,'[1]zawodnicy'!$A:$E,1,FALSE)," ",VLOOKUP(N111,'[1]zawodnicy'!$A:$E,2,FALSE)," ",VLOOKUP(N111,'[1]zawodnicy'!$A:$E,3,FALSE)," - ",VLOOKUP(N111,'[1]zawodnicy'!$A:$E,4,FALSE)),"")</f>
      </c>
      <c r="V111" s="192"/>
      <c r="W111" s="32"/>
      <c r="X111" s="36">
        <f>IF(SUM(AR114:AS114)=0,"",AR114&amp;":"&amp;AS114)</f>
      </c>
      <c r="Y111" s="37" t="str">
        <f>IF(SUM(AR112:AS112)=0,"",AR112&amp;":"&amp;AS112)</f>
        <v>21:14</v>
      </c>
      <c r="Z111" s="179"/>
      <c r="AA111" s="184"/>
      <c r="AB111" s="184"/>
      <c r="AC111" s="187"/>
      <c r="AD111" s="2"/>
      <c r="AE111" s="22"/>
      <c r="AF111" s="22"/>
      <c r="AG111" s="28"/>
      <c r="AH111" s="193" t="s">
        <v>13</v>
      </c>
      <c r="AI111" s="194"/>
      <c r="AJ111" s="195" t="s">
        <v>14</v>
      </c>
      <c r="AK111" s="194"/>
      <c r="AL111" s="195" t="s">
        <v>15</v>
      </c>
      <c r="AM111" s="196"/>
      <c r="AN111" s="193" t="s">
        <v>13</v>
      </c>
      <c r="AO111" s="194"/>
      <c r="AP111" s="195" t="s">
        <v>14</v>
      </c>
      <c r="AQ111" s="194"/>
      <c r="AR111" s="195" t="s">
        <v>15</v>
      </c>
      <c r="AS111" s="194"/>
      <c r="AT111" s="22"/>
      <c r="AU111" s="22"/>
      <c r="AV111" s="193">
        <v>1</v>
      </c>
      <c r="AW111" s="194"/>
      <c r="AX111" s="195">
        <v>2</v>
      </c>
      <c r="AY111" s="194"/>
      <c r="AZ111" s="195">
        <v>3</v>
      </c>
      <c r="BA111" s="196"/>
      <c r="BD111" s="193" t="s">
        <v>4</v>
      </c>
      <c r="BE111" s="196"/>
      <c r="BF111" s="193" t="s">
        <v>5</v>
      </c>
      <c r="BG111" s="196"/>
      <c r="BH111" s="193" t="s">
        <v>6</v>
      </c>
      <c r="BI111" s="196"/>
      <c r="BJ111" s="38" t="s">
        <v>7</v>
      </c>
      <c r="BK111" s="13">
        <f>SUM(BK112:BK114)</f>
        <v>0</v>
      </c>
    </row>
    <row r="112" spans="1:63" ht="11.25" customHeight="1">
      <c r="A112" s="12">
        <f>S112</f>
        <v>26</v>
      </c>
      <c r="B112" s="2" t="str">
        <f>IF(N110="","",N110)</f>
        <v>J0003</v>
      </c>
      <c r="C112" s="2">
        <f>IF(N111="","",N111)</f>
      </c>
      <c r="D112" s="2" t="str">
        <f>IF(N116="","",N116)</f>
        <v>D0008</v>
      </c>
      <c r="E112" s="2">
        <f>IF(N117="","",N117)</f>
      </c>
      <c r="I112" s="2" t="str">
        <f>"2"&amp;O108&amp;N109</f>
        <v>21Kobiet</v>
      </c>
      <c r="J112" s="29" t="str">
        <f>IF(AC112="","",IF(AC109=2,N110,IF(AC112=2,N113,IF(AC115=2,N116,""))))</f>
        <v>J0003</v>
      </c>
      <c r="K112" s="29">
        <f>IF(AC112="","",IF(AC109=2,N111,IF(AC112=2,N114,IF(AC115=2,N117,""))))</f>
        <v>0</v>
      </c>
      <c r="M112" s="39" t="str">
        <f>N109</f>
        <v>Kobiet</v>
      </c>
      <c r="O112" s="23"/>
      <c r="P112" s="23"/>
      <c r="Q112" s="40">
        <f>IF(AT112&gt;0,"",IF(A112=0,"",IF(VLOOKUP(A112,'[1]plan gier'!A:S,19,FALSE)="","",VLOOKUP(A112,'[1]plan gier'!A:S,19,FALSE))))</f>
      </c>
      <c r="R112" s="41" t="s">
        <v>16</v>
      </c>
      <c r="S112" s="42">
        <v>26</v>
      </c>
      <c r="T112" s="197">
        <v>2</v>
      </c>
      <c r="U112" s="198">
        <f>IF(AND(N113&lt;&gt;"",N114&lt;&gt;""),CONCATENATE(VLOOKUP(N113,'[1]zawodnicy'!$A:$E,1,FALSE)," ",VLOOKUP(N113,'[1]zawodnicy'!$A:$E,2,FALSE)," ",VLOOKUP(N113,'[1]zawodnicy'!$A:$E,3,FALSE)," - ",VLOOKUP(N113,'[1]zawodnicy'!$A:$E,4,FALSE)),"")</f>
      </c>
      <c r="V112" s="199"/>
      <c r="W112" s="43" t="str">
        <f>IF(SUM(AN114:AO114)=0,"",AO114&amp;":"&amp;AN114)</f>
        <v>21:11</v>
      </c>
      <c r="X112" s="44"/>
      <c r="Y112" s="45" t="str">
        <f>IF(SUM(AN113:AO113)=0,"",AN113&amp;":"&amp;AO113)</f>
        <v>21:13</v>
      </c>
      <c r="Z112" s="197" t="str">
        <f>IF(SUM(AV113:AW113,AZ113:BA113)=0,"",BD113&amp;":"&amp;BE113)</f>
        <v>84:59</v>
      </c>
      <c r="AA112" s="200" t="str">
        <f>IF(SUM(AV113:AW113,AZ113:BA113)=0,"",BF113&amp;":"&amp;BG113)</f>
        <v>4:0</v>
      </c>
      <c r="AB112" s="200" t="str">
        <f>IF(SUM(AV113:AW113,AZ113:BA113)=0,"",BH113&amp;":"&amp;BI113)</f>
        <v>2:0</v>
      </c>
      <c r="AC112" s="201">
        <f>IF(SUM(BH112:BH114)&gt;0,BJ113,"")</f>
        <v>1</v>
      </c>
      <c r="AD112" s="2"/>
      <c r="AE112" s="22"/>
      <c r="AF112" s="22"/>
      <c r="AG112" s="41" t="s">
        <v>16</v>
      </c>
      <c r="AH112" s="46">
        <f>IF(ISBLANK(S112),"",VLOOKUP(S112,'[1]plan gier'!$X:$AN,12,FALSE))</f>
        <v>19</v>
      </c>
      <c r="AI112" s="47">
        <f>IF(ISBLANK(S112),"",VLOOKUP(S112,'[1]plan gier'!$X:$AN,13,FALSE))</f>
        <v>21</v>
      </c>
      <c r="AJ112" s="47">
        <f>IF(ISBLANK(S112),"",VLOOKUP(S112,'[1]plan gier'!$X:$AN,14,FALSE))</f>
        <v>21</v>
      </c>
      <c r="AK112" s="47">
        <f>IF(ISBLANK(S112),"",VLOOKUP(S112,'[1]plan gier'!$X:$AN,15,FALSE))</f>
        <v>17</v>
      </c>
      <c r="AL112" s="47">
        <f>IF(ISBLANK(S112),"",VLOOKUP(S112,'[1]plan gier'!$X:$AN,16,FALSE))</f>
        <v>21</v>
      </c>
      <c r="AM112" s="47">
        <f>IF(ISBLANK(S112),"",VLOOKUP(S112,'[1]plan gier'!$X:$AN,17,FALSE))</f>
        <v>14</v>
      </c>
      <c r="AN112" s="48">
        <f aca="true" t="shared" si="8" ref="AN112:AS114">IF(AH112="",0,AH112)</f>
        <v>19</v>
      </c>
      <c r="AO112" s="49">
        <f t="shared" si="8"/>
        <v>21</v>
      </c>
      <c r="AP112" s="50">
        <f t="shared" si="8"/>
        <v>21</v>
      </c>
      <c r="AQ112" s="49">
        <f t="shared" si="8"/>
        <v>17</v>
      </c>
      <c r="AR112" s="50">
        <f t="shared" si="8"/>
        <v>21</v>
      </c>
      <c r="AS112" s="49">
        <f t="shared" si="8"/>
        <v>14</v>
      </c>
      <c r="AT112" s="51">
        <f>SUM(AN112:AS112)</f>
        <v>113</v>
      </c>
      <c r="AU112" s="52">
        <v>1</v>
      </c>
      <c r="AV112" s="53"/>
      <c r="AW112" s="54"/>
      <c r="AX112" s="47">
        <f>IF(AH114&gt;AI114,1,0)+IF(AJ114&gt;AK114,1,0)+IF(AL114&gt;AM114,1,0)</f>
        <v>0</v>
      </c>
      <c r="AY112" s="47">
        <f>AV113</f>
        <v>2</v>
      </c>
      <c r="AZ112" s="47">
        <f>IF(AH112&gt;AI112,1,0)+IF(AJ112&gt;AK112,1,0)+IF(AL112&gt;AM112,1,0)</f>
        <v>2</v>
      </c>
      <c r="BA112" s="55">
        <f>AV114</f>
        <v>1</v>
      </c>
      <c r="BD112" s="46">
        <f>AN112+AP112+AR112+AN114+AP114+AR114</f>
        <v>91</v>
      </c>
      <c r="BE112" s="55">
        <f>AO112+AQ112+AS112+AO114+AQ114+AS114</f>
        <v>94</v>
      </c>
      <c r="BF112" s="46">
        <f>AX112+AZ112</f>
        <v>2</v>
      </c>
      <c r="BG112" s="55">
        <f>AY112+BA112</f>
        <v>3</v>
      </c>
      <c r="BH112" s="46">
        <f>IF(AX112&gt;AY112,1,0)+IF(AZ112&gt;BA112,1,0)</f>
        <v>1</v>
      </c>
      <c r="BI112" s="56">
        <f>IF(AY112&gt;AX112,1,0)+IF(BA112&gt;AZ112,1,0)</f>
        <v>1</v>
      </c>
      <c r="BJ112" s="57">
        <f>IF(BH112+BI112=0,"",IF(BK112=MAX(BK112:BK114),1,IF(BK112=MIN(BK112:BK114),3,2)))</f>
        <v>2</v>
      </c>
      <c r="BK112" s="13">
        <f>IF(BH112+BI112&lt;&gt;0,BH112-BI112+(BF112-BG112)/100+(BD112-BE112)/10000,-2)</f>
        <v>-0.0103</v>
      </c>
    </row>
    <row r="113" spans="1:63" ht="11.25" customHeight="1">
      <c r="A113" s="12">
        <f>S113</f>
        <v>27</v>
      </c>
      <c r="B113" s="2" t="str">
        <f>IF(N113="","",N113)</f>
        <v>N0005</v>
      </c>
      <c r="C113" s="2">
        <f>IF(N114="","",N114)</f>
      </c>
      <c r="D113" s="2" t="str">
        <f>IF(N116="","",N116)</f>
        <v>D0008</v>
      </c>
      <c r="E113" s="2">
        <f>IF(N117="","",N117)</f>
      </c>
      <c r="J113" s="29"/>
      <c r="K113" s="12"/>
      <c r="M113" s="39" t="str">
        <f>N109</f>
        <v>Kobiet</v>
      </c>
      <c r="N113" s="30" t="s">
        <v>54</v>
      </c>
      <c r="O113" s="31">
        <f>IF(O108&gt;0,(O108&amp;2)*1,"")</f>
        <v>12</v>
      </c>
      <c r="Q113" s="40">
        <f>IF(AT113&gt;0,"",IF(A113=0,"",IF(VLOOKUP(A113,'[1]plan gier'!A:S,19,FALSE)="","",VLOOKUP(A113,'[1]plan gier'!A:S,19,FALSE))))</f>
      </c>
      <c r="R113" s="41" t="s">
        <v>18</v>
      </c>
      <c r="S113" s="42">
        <v>27</v>
      </c>
      <c r="T113" s="178"/>
      <c r="U113" s="189" t="str">
        <f>IF(AND(N113&lt;&gt;"",N114=""),CONCATENATE(VLOOKUP(N113,'[1]zawodnicy'!$A:$E,1,FALSE)," ",VLOOKUP(N113,'[1]zawodnicy'!$A:$E,2,FALSE)," ",VLOOKUP(N113,'[1]zawodnicy'!$A:$E,3,FALSE)," - ",VLOOKUP(N113,'[1]zawodnicy'!$A:$E,4,FALSE)),"")</f>
        <v>N0005 Izabela NOWAK - Mielec</v>
      </c>
      <c r="V113" s="190"/>
      <c r="W113" s="58" t="str">
        <f>IF(SUM(AP114:AQ114)=0,"",AQ114&amp;":"&amp;AP114)</f>
        <v>21:19</v>
      </c>
      <c r="X113" s="59"/>
      <c r="Y113" s="34" t="str">
        <f>IF(SUM(AP113:AQ113)=0,"",AP113&amp;":"&amp;AQ113)</f>
        <v>21:16</v>
      </c>
      <c r="Z113" s="178"/>
      <c r="AA113" s="183"/>
      <c r="AB113" s="183"/>
      <c r="AC113" s="186"/>
      <c r="AD113" s="2"/>
      <c r="AE113" s="22"/>
      <c r="AF113" s="22"/>
      <c r="AG113" s="41" t="s">
        <v>18</v>
      </c>
      <c r="AH113" s="60">
        <f>IF(ISBLANK(S113),"",VLOOKUP(S113,'[1]plan gier'!$X:$AN,12,FALSE))</f>
        <v>21</v>
      </c>
      <c r="AI113" s="61">
        <f>IF(ISBLANK(S113),"",VLOOKUP(S113,'[1]plan gier'!$X:$AN,13,FALSE))</f>
        <v>13</v>
      </c>
      <c r="AJ113" s="61">
        <f>IF(ISBLANK(S113),"",VLOOKUP(S113,'[1]plan gier'!$X:$AN,14,FALSE))</f>
        <v>21</v>
      </c>
      <c r="AK113" s="61">
        <f>IF(ISBLANK(S113),"",VLOOKUP(S113,'[1]plan gier'!$X:$AN,15,FALSE))</f>
        <v>16</v>
      </c>
      <c r="AL113" s="61">
        <f>IF(ISBLANK(S113),"",VLOOKUP(S113,'[1]plan gier'!$X:$AN,16,FALSE))</f>
        <v>0</v>
      </c>
      <c r="AM113" s="61">
        <f>IF(ISBLANK(S113),"",VLOOKUP(S113,'[1]plan gier'!$X:$AN,17,FALSE))</f>
        <v>0</v>
      </c>
      <c r="AN113" s="62">
        <f t="shared" si="8"/>
        <v>21</v>
      </c>
      <c r="AO113" s="61">
        <f t="shared" si="8"/>
        <v>13</v>
      </c>
      <c r="AP113" s="63">
        <f t="shared" si="8"/>
        <v>21</v>
      </c>
      <c r="AQ113" s="61">
        <f t="shared" si="8"/>
        <v>16</v>
      </c>
      <c r="AR113" s="63">
        <f t="shared" si="8"/>
        <v>0</v>
      </c>
      <c r="AS113" s="61">
        <f t="shared" si="8"/>
        <v>0</v>
      </c>
      <c r="AT113" s="51">
        <f>SUM(AN113:AS113)</f>
        <v>71</v>
      </c>
      <c r="AU113" s="52">
        <v>2</v>
      </c>
      <c r="AV113" s="60">
        <f>IF(AH114&lt;AI114,1,0)+IF(AJ114&lt;AK114,1,0)+IF(AL114&lt;AM114,1,0)</f>
        <v>2</v>
      </c>
      <c r="AW113" s="61">
        <f>AX112</f>
        <v>0</v>
      </c>
      <c r="AX113" s="64"/>
      <c r="AY113" s="65"/>
      <c r="AZ113" s="61">
        <f>IF(AH113&gt;AI113,1,0)+IF(AJ113&gt;AK113,1,0)+IF(AL113&gt;AM113,1,0)</f>
        <v>2</v>
      </c>
      <c r="BA113" s="66">
        <f>AX114</f>
        <v>0</v>
      </c>
      <c r="BD113" s="60">
        <f>AN113+AP113+AR113+AO114+AQ114+AS114</f>
        <v>84</v>
      </c>
      <c r="BE113" s="66">
        <f>AO113+AQ113+AS113+AN114+AP114+AR114</f>
        <v>59</v>
      </c>
      <c r="BF113" s="60">
        <f>AV113+AZ113</f>
        <v>4</v>
      </c>
      <c r="BG113" s="66">
        <f>AW113+BA113</f>
        <v>0</v>
      </c>
      <c r="BH113" s="60">
        <f>IF(AV113&gt;AW113,1,0)+IF(AZ113&gt;BA113,1,0)</f>
        <v>2</v>
      </c>
      <c r="BI113" s="67">
        <f>IF(AW113&gt;AV113,1,0)+IF(BA113&gt;AZ113,1,0)</f>
        <v>0</v>
      </c>
      <c r="BJ113" s="68">
        <f>IF(BH113+BI113=0,"",IF(BK113=MAX(BK112:BK114),1,IF(BK113=MIN(BK112:BK114),3,2)))</f>
        <v>1</v>
      </c>
      <c r="BK113" s="13">
        <f>IF(BH113+BI113&lt;&gt;0,BH113-BI113+(BF113-BG113)/100+(BD113-BE113)/10000,-2)</f>
        <v>2.0425</v>
      </c>
    </row>
    <row r="114" spans="1:63" ht="11.25" customHeight="1" thickBot="1">
      <c r="A114" s="12">
        <f>S114</f>
        <v>28</v>
      </c>
      <c r="B114" s="2" t="str">
        <f>IF(N110="","",N110)</f>
        <v>J0003</v>
      </c>
      <c r="C114" s="2">
        <f>IF(N111="","",N111)</f>
      </c>
      <c r="D114" s="2" t="str">
        <f>IF(N113="","",N113)</f>
        <v>N0005</v>
      </c>
      <c r="E114" s="2">
        <f>IF(N114="","",N114)</f>
      </c>
      <c r="I114" s="2" t="str">
        <f>"3"&amp;O108&amp;N109</f>
        <v>31Kobiet</v>
      </c>
      <c r="J114" s="29" t="str">
        <f>IF(AC115="","",IF(AC109=3,N110,IF(AC112=3,N113,IF(AC115=3,N116,""))))</f>
        <v>D0008</v>
      </c>
      <c r="K114" s="29">
        <f>IF(AC115="","",IF(AC109=3,N111,IF(AC112=3,N114,IF(AC115=3,N117,""))))</f>
        <v>0</v>
      </c>
      <c r="M114" s="39" t="str">
        <f>N109</f>
        <v>Kobiet</v>
      </c>
      <c r="N114" s="35"/>
      <c r="O114" s="23"/>
      <c r="P114" s="23"/>
      <c r="Q114" s="40">
        <f>IF(AT114&gt;0,"",IF(A114=0,"",IF(VLOOKUP(A114,'[1]plan gier'!A:S,19,FALSE)="","",VLOOKUP(A114,'[1]plan gier'!A:S,19,FALSE))))</f>
      </c>
      <c r="R114" s="69" t="s">
        <v>19</v>
      </c>
      <c r="S114" s="42">
        <v>28</v>
      </c>
      <c r="T114" s="179"/>
      <c r="U114" s="191">
        <f>IF(N114&lt;&gt;"",CONCATENATE(VLOOKUP(N114,'[1]zawodnicy'!$A:$E,1,FALSE)," ",VLOOKUP(N114,'[1]zawodnicy'!$A:$E,2,FALSE)," ",VLOOKUP(N114,'[1]zawodnicy'!$A:$E,3,FALSE)," - ",VLOOKUP(N114,'[1]zawodnicy'!$A:$E,4,FALSE)),"")</f>
      </c>
      <c r="V114" s="192"/>
      <c r="W114" s="70">
        <f>IF(SUM(AR114:AS114)=0,"",AS114&amp;":"&amp;AR114)</f>
      </c>
      <c r="X114" s="59"/>
      <c r="Y114" s="37">
        <f>IF(SUM(AR113:AS113)=0,"",AR113&amp;":"&amp;AS113)</f>
      </c>
      <c r="Z114" s="179"/>
      <c r="AA114" s="184"/>
      <c r="AB114" s="184"/>
      <c r="AC114" s="187"/>
      <c r="AD114" s="2"/>
      <c r="AE114" s="22"/>
      <c r="AF114" s="22"/>
      <c r="AG114" s="69" t="s">
        <v>19</v>
      </c>
      <c r="AH114" s="71">
        <f>IF(ISBLANK(S114),"",VLOOKUP(S114,'[1]plan gier'!$X:$AN,12,FALSE))</f>
        <v>11</v>
      </c>
      <c r="AI114" s="72">
        <f>IF(ISBLANK(S114),"",VLOOKUP(S114,'[1]plan gier'!$X:$AN,13,FALSE))</f>
        <v>21</v>
      </c>
      <c r="AJ114" s="72">
        <f>IF(ISBLANK(S114),"",VLOOKUP(S114,'[1]plan gier'!$X:$AN,14,FALSE))</f>
        <v>19</v>
      </c>
      <c r="AK114" s="72">
        <f>IF(ISBLANK(S114),"",VLOOKUP(S114,'[1]plan gier'!$X:$AN,15,FALSE))</f>
        <v>21</v>
      </c>
      <c r="AL114" s="72">
        <f>IF(ISBLANK(S114),"",VLOOKUP(S114,'[1]plan gier'!$X:$AN,16,FALSE))</f>
        <v>0</v>
      </c>
      <c r="AM114" s="72">
        <f>IF(ISBLANK(S114),"",VLOOKUP(S114,'[1]plan gier'!$X:$AN,17,FALSE))</f>
        <v>0</v>
      </c>
      <c r="AN114" s="73">
        <f t="shared" si="8"/>
        <v>11</v>
      </c>
      <c r="AO114" s="72">
        <f t="shared" si="8"/>
        <v>21</v>
      </c>
      <c r="AP114" s="74">
        <f t="shared" si="8"/>
        <v>19</v>
      </c>
      <c r="AQ114" s="72">
        <f t="shared" si="8"/>
        <v>21</v>
      </c>
      <c r="AR114" s="74">
        <f t="shared" si="8"/>
        <v>0</v>
      </c>
      <c r="AS114" s="72">
        <f t="shared" si="8"/>
        <v>0</v>
      </c>
      <c r="AT114" s="51">
        <f>SUM(AN114:AS114)</f>
        <v>72</v>
      </c>
      <c r="AU114" s="52">
        <v>3</v>
      </c>
      <c r="AV114" s="71">
        <f>IF(AH112&lt;AI112,1,0)+IF(AJ112&lt;AK112,1,0)+IF(AL112&lt;AM112,1,0)</f>
        <v>1</v>
      </c>
      <c r="AW114" s="72">
        <f>AZ112</f>
        <v>2</v>
      </c>
      <c r="AX114" s="72">
        <f>IF(AH113&lt;AI113,1,0)+IF(AJ113&lt;AK113,1,0)+IF(AL113&lt;AM113,1,0)</f>
        <v>0</v>
      </c>
      <c r="AY114" s="72">
        <f>AZ113</f>
        <v>2</v>
      </c>
      <c r="AZ114" s="75"/>
      <c r="BA114" s="76"/>
      <c r="BD114" s="71">
        <f>AO112+AQ112+AS112+AO113+AQ113+AS113</f>
        <v>81</v>
      </c>
      <c r="BE114" s="77">
        <f>AN112+AP112+AR112+AN113+AP113+AR113</f>
        <v>103</v>
      </c>
      <c r="BF114" s="71">
        <f>AV114+AX114</f>
        <v>1</v>
      </c>
      <c r="BG114" s="77">
        <f>AW114+AY114</f>
        <v>4</v>
      </c>
      <c r="BH114" s="71">
        <f>IF(AV114&gt;AW114,1,0)+IF(AX114&gt;AY114,1,0)</f>
        <v>0</v>
      </c>
      <c r="BI114" s="78">
        <f>IF(AW114&gt;AV114,1,0)+IF(AY114&gt;AX114,1,0)</f>
        <v>2</v>
      </c>
      <c r="BJ114" s="79">
        <f>IF(BH114+BI114=0,"",IF(BK114=MAX(BK112:BK114),1,IF(BK114=MIN(BK112:BK114),3,2)))</f>
        <v>3</v>
      </c>
      <c r="BK114" s="13">
        <f>IF(BH114+BI114&lt;&gt;0,BH114-BI114+(BF114-BG114)/100+(BD114-BE114)/10000,-2)</f>
        <v>-2.0322</v>
      </c>
    </row>
    <row r="115" spans="1:59" ht="11.25" customHeight="1">
      <c r="A115" s="2"/>
      <c r="J115" s="23"/>
      <c r="K115" s="23"/>
      <c r="L115" s="23"/>
      <c r="O115" s="23"/>
      <c r="P115" s="23"/>
      <c r="Q115" s="2"/>
      <c r="R115" s="2"/>
      <c r="S115" s="2"/>
      <c r="T115" s="197">
        <v>3</v>
      </c>
      <c r="U115" s="198">
        <f>IF(AND(N116&lt;&gt;"",N117&lt;&gt;""),CONCATENATE(VLOOKUP(N116,'[1]zawodnicy'!$A:$E,1,FALSE)," ",VLOOKUP(N116,'[1]zawodnicy'!$A:$E,2,FALSE)," ",VLOOKUP(N116,'[1]zawodnicy'!$A:$E,3,FALSE)," - ",VLOOKUP(N116,'[1]zawodnicy'!$A:$E,4,FALSE)),"")</f>
      </c>
      <c r="V115" s="199"/>
      <c r="W115" s="43" t="str">
        <f>IF(SUM(AN112:AO112)=0,"",AO112&amp;":"&amp;AN112)</f>
        <v>21:19</v>
      </c>
      <c r="X115" s="80" t="str">
        <f>IF(SUM(AN113:AO113)=0,"",AO113&amp;":"&amp;AN113)</f>
        <v>13:21</v>
      </c>
      <c r="Y115" s="81"/>
      <c r="Z115" s="197" t="str">
        <f>IF(SUM(AV114:AY114)=0,"",BD114&amp;":"&amp;BE114)</f>
        <v>81:103</v>
      </c>
      <c r="AA115" s="200" t="str">
        <f>IF(SUM(AV114:AY114)=0,"",BF114&amp;":"&amp;BG114)</f>
        <v>1:4</v>
      </c>
      <c r="AB115" s="200" t="str">
        <f>IF(SUM(AV114:AY114)=0,"",BH114&amp;":"&amp;BI114)</f>
        <v>0:2</v>
      </c>
      <c r="AC115" s="201">
        <f>IF(SUM(BH112:BH114)&gt;0,BJ114,"")</f>
        <v>3</v>
      </c>
      <c r="AD115" s="2"/>
      <c r="AE115" s="22"/>
      <c r="AF115" s="22"/>
      <c r="BD115" s="12">
        <f>SUM(BD112:BD114)</f>
        <v>256</v>
      </c>
      <c r="BE115" s="12">
        <f>SUM(BE112:BE114)</f>
        <v>256</v>
      </c>
      <c r="BF115" s="12">
        <f>SUM(BF112:BF114)</f>
        <v>7</v>
      </c>
      <c r="BG115" s="12">
        <f>SUM(BG112:BG114)</f>
        <v>7</v>
      </c>
    </row>
    <row r="116" spans="1:63" ht="11.25" customHeight="1">
      <c r="A116" s="12"/>
      <c r="J116" s="12"/>
      <c r="K116" s="12"/>
      <c r="L116" s="12"/>
      <c r="N116" s="30" t="s">
        <v>55</v>
      </c>
      <c r="O116" s="31">
        <f>IF(O108&gt;0,(O108&amp;3)*1,"")</f>
        <v>13</v>
      </c>
      <c r="Q116" s="82"/>
      <c r="R116" s="82"/>
      <c r="S116" s="42"/>
      <c r="T116" s="178"/>
      <c r="U116" s="189" t="str">
        <f>IF(AND(N116&lt;&gt;"",N117=""),CONCATENATE(VLOOKUP(N116,'[1]zawodnicy'!$A:$E,1,FALSE)," ",VLOOKUP(N116,'[1]zawodnicy'!$A:$E,2,FALSE)," ",VLOOKUP(N116,'[1]zawodnicy'!$A:$E,3,FALSE)," - ",VLOOKUP(N116,'[1]zawodnicy'!$A:$E,4,FALSE)),"")</f>
        <v>D0008 Patrycja DOMAŃSKA - Rzeszów</v>
      </c>
      <c r="V116" s="190"/>
      <c r="W116" s="58" t="str">
        <f>IF(SUM(AP112:AQ112)=0,"",AQ112&amp;":"&amp;AP112)</f>
        <v>17:21</v>
      </c>
      <c r="X116" s="33" t="str">
        <f>IF(SUM(AP113:AQ113)=0,"",AQ113&amp;":"&amp;AP113)</f>
        <v>16:21</v>
      </c>
      <c r="Y116" s="83"/>
      <c r="Z116" s="178"/>
      <c r="AA116" s="183"/>
      <c r="AB116" s="183"/>
      <c r="AC116" s="186"/>
      <c r="AD116" s="2"/>
      <c r="AE116" s="22"/>
      <c r="AF116" s="2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</row>
    <row r="117" spans="1:63" ht="11.25" customHeight="1" thickBot="1">
      <c r="A117" s="2"/>
      <c r="J117" s="23"/>
      <c r="K117" s="23"/>
      <c r="L117" s="23"/>
      <c r="N117" s="35"/>
      <c r="O117" s="23"/>
      <c r="P117" s="23"/>
      <c r="Q117" s="2"/>
      <c r="R117" s="2"/>
      <c r="S117" s="2"/>
      <c r="T117" s="202"/>
      <c r="U117" s="205">
        <f>IF(N117&lt;&gt;"",CONCATENATE(VLOOKUP(N117,'[1]zawodnicy'!$A:$E,1,FALSE)," ",VLOOKUP(N117,'[1]zawodnicy'!$A:$E,2,FALSE)," ",VLOOKUP(N117,'[1]zawodnicy'!$A:$E,3,FALSE)," - ",VLOOKUP(N117,'[1]zawodnicy'!$A:$E,4,FALSE)),"")</f>
      </c>
      <c r="V117" s="206"/>
      <c r="W117" s="84" t="str">
        <f>IF(SUM(AR112:AS112)=0,"",AS112&amp;":"&amp;AR112)</f>
        <v>14:21</v>
      </c>
      <c r="X117" s="85">
        <f>IF(SUM(AR113:AS113)=0,"",AS113&amp;":"&amp;AR113)</f>
      </c>
      <c r="Y117" s="86"/>
      <c r="Z117" s="202"/>
      <c r="AA117" s="203"/>
      <c r="AB117" s="203"/>
      <c r="AC117" s="204"/>
      <c r="AD117" s="29"/>
      <c r="AE117" s="22"/>
      <c r="AF117" s="2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</row>
    <row r="118" ht="11.25" customHeight="1"/>
    <row r="119" ht="11.25" customHeight="1"/>
    <row r="120" spans="13:31" ht="11.25" customHeight="1">
      <c r="M120" s="9"/>
      <c r="N120" s="10" t="s">
        <v>56</v>
      </c>
      <c r="Q120" s="171" t="str">
        <f>"Gra "&amp;N120</f>
        <v>Gra Old Boys</v>
      </c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</row>
    <row r="121" ht="11.25" customHeight="1" thickBot="1"/>
    <row r="122" spans="14:32" ht="11.25" customHeight="1" thickBot="1">
      <c r="N122" s="8"/>
      <c r="O122" s="14">
        <v>1</v>
      </c>
      <c r="Q122" s="171" t="str">
        <f>"Grupa "&amp;O122&amp;"."</f>
        <v>Grupa 1.</v>
      </c>
      <c r="R122" s="171"/>
      <c r="S122" s="172"/>
      <c r="T122" s="15" t="s">
        <v>2</v>
      </c>
      <c r="U122" s="173" t="s">
        <v>3</v>
      </c>
      <c r="V122" s="174"/>
      <c r="W122" s="15">
        <v>1</v>
      </c>
      <c r="X122" s="17">
        <v>2</v>
      </c>
      <c r="Y122" s="18">
        <v>3</v>
      </c>
      <c r="Z122" s="19" t="s">
        <v>4</v>
      </c>
      <c r="AA122" s="20" t="s">
        <v>5</v>
      </c>
      <c r="AB122" s="20" t="s">
        <v>6</v>
      </c>
      <c r="AC122" s="21" t="s">
        <v>7</v>
      </c>
      <c r="AD122" s="2"/>
      <c r="AE122" s="22"/>
      <c r="AF122" s="22"/>
    </row>
    <row r="123" spans="10:45" ht="11.25" customHeight="1">
      <c r="J123" s="23"/>
      <c r="K123" s="23"/>
      <c r="L123" s="23"/>
      <c r="N123" s="24" t="s">
        <v>56</v>
      </c>
      <c r="Q123" s="175" t="s">
        <v>8</v>
      </c>
      <c r="R123" s="175"/>
      <c r="S123" s="176" t="s">
        <v>9</v>
      </c>
      <c r="T123" s="177">
        <v>1</v>
      </c>
      <c r="U123" s="180">
        <f>IF(AND(N124&lt;&gt;"",N125&lt;&gt;""),CONCATENATE(VLOOKUP(N124,'[1]zawodnicy'!$A:$E,1,FALSE)," ",VLOOKUP(N124,'[1]zawodnicy'!$A:$E,2,FALSE)," ",VLOOKUP(N124,'[1]zawodnicy'!$A:$E,3,FALSE)," - ",VLOOKUP(N124,'[1]zawodnicy'!$A:$E,4,FALSE)),"")</f>
      </c>
      <c r="V123" s="181"/>
      <c r="W123" s="25"/>
      <c r="X123" s="26" t="str">
        <f>IF(SUM(AN128:AO128)=0,"",AN128&amp;":"&amp;AO128)</f>
        <v>21:12</v>
      </c>
      <c r="Y123" s="27" t="str">
        <f>IF(SUM(AN126:AO126)=0,"",AN126&amp;":"&amp;AO126)</f>
        <v>21:19</v>
      </c>
      <c r="Z123" s="177" t="str">
        <f>IF(SUM(AX126:BA126)=0,"",BD126&amp;":"&amp;BE126)</f>
        <v>84:52</v>
      </c>
      <c r="AA123" s="182" t="str">
        <f>IF(SUM(AX126:BA126)=0,"",BF126&amp;":"&amp;BG126)</f>
        <v>4:0</v>
      </c>
      <c r="AB123" s="182" t="str">
        <f>IF(SUM(AX126:BA126)=0,"",BH126&amp;":"&amp;BI126)</f>
        <v>2:0</v>
      </c>
      <c r="AC123" s="185">
        <f>IF(SUM(BH126:BH128)&gt;0,BJ126,"")</f>
        <v>1</v>
      </c>
      <c r="AD123" s="2"/>
      <c r="AE123" s="22"/>
      <c r="AF123" s="22"/>
      <c r="AG123" s="28"/>
      <c r="AH123" s="188" t="s">
        <v>10</v>
      </c>
      <c r="AI123" s="188"/>
      <c r="AJ123" s="188"/>
      <c r="AK123" s="188"/>
      <c r="AL123" s="188"/>
      <c r="AM123" s="188"/>
      <c r="AN123" s="188" t="s">
        <v>11</v>
      </c>
      <c r="AO123" s="188"/>
      <c r="AP123" s="188"/>
      <c r="AQ123" s="188"/>
      <c r="AR123" s="188"/>
      <c r="AS123" s="188"/>
    </row>
    <row r="124" spans="9:59" ht="11.25" customHeight="1" thickBot="1">
      <c r="I124" s="2" t="str">
        <f>"1"&amp;O122&amp;N123</f>
        <v>11Old Boys</v>
      </c>
      <c r="J124" s="29" t="str">
        <f>IF(AC123="","",IF(AC123=1,N124,IF(AC126=1,N127,IF(AC129=1,N130,""))))</f>
        <v>B0009</v>
      </c>
      <c r="K124" s="29">
        <f>IF(AC123="","",IF(AC123=1,N125,IF(AC126=1,N128,IF(AC129=1,N131,""))))</f>
        <v>0</v>
      </c>
      <c r="L124" s="29"/>
      <c r="N124" s="30" t="s">
        <v>57</v>
      </c>
      <c r="O124" s="31">
        <f>IF(O122&gt;0,(O122&amp;1)*1,"")</f>
        <v>11</v>
      </c>
      <c r="Q124" s="175"/>
      <c r="R124" s="175"/>
      <c r="S124" s="176"/>
      <c r="T124" s="178"/>
      <c r="U124" s="189" t="str">
        <f>IF(AND(N124&lt;&gt;"",N125=""),CONCATENATE(VLOOKUP(N124,'[1]zawodnicy'!$A:$E,1,FALSE)," ",VLOOKUP(N124,'[1]zawodnicy'!$A:$E,2,FALSE)," ",VLOOKUP(N124,'[1]zawodnicy'!$A:$E,3,FALSE)," - ",VLOOKUP(N124,'[1]zawodnicy'!$A:$E,4,FALSE)),"")</f>
        <v>B0009 Adam BUNIO - Nowa Dęba</v>
      </c>
      <c r="V124" s="190"/>
      <c r="W124" s="32"/>
      <c r="X124" s="33" t="str">
        <f>IF(SUM(AP128:AQ128)=0,"",AP128&amp;":"&amp;AQ128)</f>
        <v>21:8</v>
      </c>
      <c r="Y124" s="34" t="str">
        <f>IF(SUM(AP126:AQ126)=0,"",AP126&amp;":"&amp;AQ126)</f>
        <v>21:13</v>
      </c>
      <c r="Z124" s="178"/>
      <c r="AA124" s="183"/>
      <c r="AB124" s="183"/>
      <c r="AC124" s="186"/>
      <c r="AD124" s="2"/>
      <c r="AE124" s="22"/>
      <c r="AF124" s="22"/>
      <c r="AG124" s="28"/>
      <c r="BD124" s="12">
        <f>SUM(BD126:BD128)</f>
        <v>225</v>
      </c>
      <c r="BE124" s="12">
        <f>SUM(BE126:BE128)</f>
        <v>225</v>
      </c>
      <c r="BF124" s="12">
        <f>SUM(BF126:BF128)</f>
        <v>6</v>
      </c>
      <c r="BG124" s="12">
        <f>SUM(BG126:BG128)</f>
        <v>6</v>
      </c>
    </row>
    <row r="125" spans="10:63" ht="11.25" customHeight="1" thickBot="1">
      <c r="J125" s="29"/>
      <c r="K125" s="23"/>
      <c r="L125" s="23"/>
      <c r="N125" s="35"/>
      <c r="O125" s="23"/>
      <c r="P125" s="23"/>
      <c r="Q125" s="175"/>
      <c r="R125" s="175"/>
      <c r="S125" s="176"/>
      <c r="T125" s="179"/>
      <c r="U125" s="191">
        <f>IF(N125&lt;&gt;"",CONCATENATE(VLOOKUP(N125,'[1]zawodnicy'!$A:$E,1,FALSE)," ",VLOOKUP(N125,'[1]zawodnicy'!$A:$E,2,FALSE)," ",VLOOKUP(N125,'[1]zawodnicy'!$A:$E,3,FALSE)," - ",VLOOKUP(N125,'[1]zawodnicy'!$A:$E,4,FALSE)),"")</f>
      </c>
      <c r="V125" s="192"/>
      <c r="W125" s="32"/>
      <c r="X125" s="36">
        <f>IF(SUM(AR128:AS128)=0,"",AR128&amp;":"&amp;AS128)</f>
      </c>
      <c r="Y125" s="37">
        <f>IF(SUM(AR126:AS126)=0,"",AR126&amp;":"&amp;AS126)</f>
      </c>
      <c r="Z125" s="179"/>
      <c r="AA125" s="184"/>
      <c r="AB125" s="184"/>
      <c r="AC125" s="187"/>
      <c r="AD125" s="2"/>
      <c r="AE125" s="22"/>
      <c r="AF125" s="22"/>
      <c r="AG125" s="28"/>
      <c r="AH125" s="193" t="s">
        <v>13</v>
      </c>
      <c r="AI125" s="194"/>
      <c r="AJ125" s="195" t="s">
        <v>14</v>
      </c>
      <c r="AK125" s="194"/>
      <c r="AL125" s="195" t="s">
        <v>15</v>
      </c>
      <c r="AM125" s="196"/>
      <c r="AN125" s="193" t="s">
        <v>13</v>
      </c>
      <c r="AO125" s="194"/>
      <c r="AP125" s="195" t="s">
        <v>14</v>
      </c>
      <c r="AQ125" s="194"/>
      <c r="AR125" s="195" t="s">
        <v>15</v>
      </c>
      <c r="AS125" s="194"/>
      <c r="AT125" s="22"/>
      <c r="AU125" s="22"/>
      <c r="AV125" s="193">
        <v>1</v>
      </c>
      <c r="AW125" s="194"/>
      <c r="AX125" s="195">
        <v>2</v>
      </c>
      <c r="AY125" s="194"/>
      <c r="AZ125" s="195">
        <v>3</v>
      </c>
      <c r="BA125" s="196"/>
      <c r="BD125" s="193" t="s">
        <v>4</v>
      </c>
      <c r="BE125" s="196"/>
      <c r="BF125" s="193" t="s">
        <v>5</v>
      </c>
      <c r="BG125" s="196"/>
      <c r="BH125" s="193" t="s">
        <v>6</v>
      </c>
      <c r="BI125" s="196"/>
      <c r="BJ125" s="38" t="s">
        <v>7</v>
      </c>
      <c r="BK125" s="13">
        <f>SUM(BK126:BK128)</f>
        <v>1.6696713456276768E-16</v>
      </c>
    </row>
    <row r="126" spans="1:63" ht="11.25" customHeight="1">
      <c r="A126" s="12">
        <f>S126</f>
        <v>29</v>
      </c>
      <c r="B126" s="2" t="str">
        <f>IF(N124="","",N124)</f>
        <v>B0009</v>
      </c>
      <c r="C126" s="2">
        <f>IF(N125="","",N125)</f>
      </c>
      <c r="D126" s="2" t="str">
        <f>IF(N130="","",N130)</f>
        <v>M0008</v>
      </c>
      <c r="E126" s="2">
        <f>IF(N131="","",N131)</f>
      </c>
      <c r="I126" s="2" t="str">
        <f>"2"&amp;O122&amp;N123</f>
        <v>21Old Boys</v>
      </c>
      <c r="J126" s="29" t="str">
        <f>IF(AC126="","",IF(AC123=2,N124,IF(AC126=2,N127,IF(AC129=2,N130,""))))</f>
        <v>M0008</v>
      </c>
      <c r="K126" s="29">
        <f>IF(AC126="","",IF(AC123=2,N125,IF(AC126=2,N128,IF(AC129=2,N131,""))))</f>
        <v>0</v>
      </c>
      <c r="M126" s="39" t="str">
        <f>N123</f>
        <v>Old Boys</v>
      </c>
      <c r="O126" s="23"/>
      <c r="P126" s="23"/>
      <c r="Q126" s="40">
        <f>IF(AT126&gt;0,"",IF(A126=0,"",IF(VLOOKUP(A126,'[1]plan gier'!A:S,19,FALSE)="","",VLOOKUP(A126,'[1]plan gier'!A:S,19,FALSE))))</f>
      </c>
      <c r="R126" s="41" t="s">
        <v>16</v>
      </c>
      <c r="S126" s="42">
        <v>29</v>
      </c>
      <c r="T126" s="197">
        <v>2</v>
      </c>
      <c r="U126" s="198">
        <f>IF(AND(N127&lt;&gt;"",N128&lt;&gt;""),CONCATENATE(VLOOKUP(N127,'[1]zawodnicy'!$A:$E,1,FALSE)," ",VLOOKUP(N127,'[1]zawodnicy'!$A:$E,2,FALSE)," ",VLOOKUP(N127,'[1]zawodnicy'!$A:$E,3,FALSE)," - ",VLOOKUP(N127,'[1]zawodnicy'!$A:$E,4,FALSE)),"")</f>
      </c>
      <c r="V126" s="199"/>
      <c r="W126" s="43" t="str">
        <f>IF(SUM(AN128:AO128)=0,"",AO128&amp;":"&amp;AN128)</f>
        <v>12:21</v>
      </c>
      <c r="X126" s="44"/>
      <c r="Y126" s="45" t="str">
        <f>IF(SUM(AN127:AO127)=0,"",AN127&amp;":"&amp;AO127)</f>
        <v>24:26</v>
      </c>
      <c r="Z126" s="197" t="str">
        <f>IF(SUM(AV127:AW127,AZ127:BA127)=0,"",BD127&amp;":"&amp;BE127)</f>
        <v>62:89</v>
      </c>
      <c r="AA126" s="200" t="str">
        <f>IF(SUM(AV127:AW127,AZ127:BA127)=0,"",BF127&amp;":"&amp;BG127)</f>
        <v>0:4</v>
      </c>
      <c r="AB126" s="200" t="str">
        <f>IF(SUM(AV127:AW127,AZ127:BA127)=0,"",BH127&amp;":"&amp;BI127)</f>
        <v>0:2</v>
      </c>
      <c r="AC126" s="201">
        <f>IF(SUM(BH126:BH128)&gt;0,BJ127,"")</f>
        <v>3</v>
      </c>
      <c r="AD126" s="2"/>
      <c r="AE126" s="22"/>
      <c r="AF126" s="22"/>
      <c r="AG126" s="41" t="s">
        <v>16</v>
      </c>
      <c r="AH126" s="46">
        <f>IF(ISBLANK(S126),"",VLOOKUP(S126,'[1]plan gier'!$X:$AN,12,FALSE))</f>
        <v>21</v>
      </c>
      <c r="AI126" s="47">
        <f>IF(ISBLANK(S126),"",VLOOKUP(S126,'[1]plan gier'!$X:$AN,13,FALSE))</f>
        <v>19</v>
      </c>
      <c r="AJ126" s="47">
        <f>IF(ISBLANK(S126),"",VLOOKUP(S126,'[1]plan gier'!$X:$AN,14,FALSE))</f>
        <v>21</v>
      </c>
      <c r="AK126" s="47">
        <f>IF(ISBLANK(S126),"",VLOOKUP(S126,'[1]plan gier'!$X:$AN,15,FALSE))</f>
        <v>13</v>
      </c>
      <c r="AL126" s="47">
        <f>IF(ISBLANK(S126),"",VLOOKUP(S126,'[1]plan gier'!$X:$AN,16,FALSE))</f>
        <v>0</v>
      </c>
      <c r="AM126" s="47">
        <f>IF(ISBLANK(S126),"",VLOOKUP(S126,'[1]plan gier'!$X:$AN,17,FALSE))</f>
        <v>0</v>
      </c>
      <c r="AN126" s="48">
        <f aca="true" t="shared" si="9" ref="AN126:AS128">IF(AH126="",0,AH126)</f>
        <v>21</v>
      </c>
      <c r="AO126" s="49">
        <f t="shared" si="9"/>
        <v>19</v>
      </c>
      <c r="AP126" s="50">
        <f t="shared" si="9"/>
        <v>21</v>
      </c>
      <c r="AQ126" s="49">
        <f t="shared" si="9"/>
        <v>13</v>
      </c>
      <c r="AR126" s="50">
        <f t="shared" si="9"/>
        <v>0</v>
      </c>
      <c r="AS126" s="49">
        <f t="shared" si="9"/>
        <v>0</v>
      </c>
      <c r="AT126" s="51">
        <f>SUM(AN126:AS126)</f>
        <v>74</v>
      </c>
      <c r="AU126" s="52">
        <v>1</v>
      </c>
      <c r="AV126" s="53"/>
      <c r="AW126" s="54"/>
      <c r="AX126" s="47">
        <f>IF(AH128&gt;AI128,1,0)+IF(AJ128&gt;AK128,1,0)+IF(AL128&gt;AM128,1,0)</f>
        <v>2</v>
      </c>
      <c r="AY126" s="47">
        <f>AV127</f>
        <v>0</v>
      </c>
      <c r="AZ126" s="47">
        <f>IF(AH126&gt;AI126,1,0)+IF(AJ126&gt;AK126,1,0)+IF(AL126&gt;AM126,1,0)</f>
        <v>2</v>
      </c>
      <c r="BA126" s="55">
        <f>AV128</f>
        <v>0</v>
      </c>
      <c r="BD126" s="46">
        <f>AN126+AP126+AR126+AN128+AP128+AR128</f>
        <v>84</v>
      </c>
      <c r="BE126" s="55">
        <f>AO126+AQ126+AS126+AO128+AQ128+AS128</f>
        <v>52</v>
      </c>
      <c r="BF126" s="46">
        <f>AX126+AZ126</f>
        <v>4</v>
      </c>
      <c r="BG126" s="55">
        <f>AY126+BA126</f>
        <v>0</v>
      </c>
      <c r="BH126" s="46">
        <f>IF(AX126&gt;AY126,1,0)+IF(AZ126&gt;BA126,1,0)</f>
        <v>2</v>
      </c>
      <c r="BI126" s="56">
        <f>IF(AY126&gt;AX126,1,0)+IF(BA126&gt;AZ126,1,0)</f>
        <v>0</v>
      </c>
      <c r="BJ126" s="57">
        <f>IF(BH126+BI126=0,"",IF(BK126=MAX(BK126:BK128),1,IF(BK126=MIN(BK126:BK128),3,2)))</f>
        <v>1</v>
      </c>
      <c r="BK126" s="13">
        <f>IF(BH126+BI126&lt;&gt;0,BH126-BI126+(BF126-BG126)/100+(BD126-BE126)/10000,-2)</f>
        <v>2.0432</v>
      </c>
    </row>
    <row r="127" spans="1:63" ht="11.25" customHeight="1">
      <c r="A127" s="12">
        <f>S127</f>
        <v>30</v>
      </c>
      <c r="B127" s="2" t="str">
        <f>IF(N127="","",N127)</f>
        <v>K0003</v>
      </c>
      <c r="C127" s="2">
        <f>IF(N128="","",N128)</f>
      </c>
      <c r="D127" s="2" t="str">
        <f>IF(N130="","",N130)</f>
        <v>M0008</v>
      </c>
      <c r="E127" s="2">
        <f>IF(N131="","",N131)</f>
      </c>
      <c r="J127" s="29"/>
      <c r="K127" s="12"/>
      <c r="M127" s="39" t="str">
        <f>N123</f>
        <v>Old Boys</v>
      </c>
      <c r="N127" s="30" t="s">
        <v>58</v>
      </c>
      <c r="O127" s="31">
        <f>IF(O122&gt;0,(O122&amp;2)*1,"")</f>
        <v>12</v>
      </c>
      <c r="Q127" s="40">
        <f>IF(AT127&gt;0,"",IF(A127=0,"",IF(VLOOKUP(A127,'[1]plan gier'!A:S,19,FALSE)="","",VLOOKUP(A127,'[1]plan gier'!A:S,19,FALSE))))</f>
      </c>
      <c r="R127" s="41" t="s">
        <v>18</v>
      </c>
      <c r="S127" s="42">
        <v>30</v>
      </c>
      <c r="T127" s="178"/>
      <c r="U127" s="189" t="str">
        <f>IF(AND(N127&lt;&gt;"",N128=""),CONCATENATE(VLOOKUP(N127,'[1]zawodnicy'!$A:$E,1,FALSE)," ",VLOOKUP(N127,'[1]zawodnicy'!$A:$E,2,FALSE)," ",VLOOKUP(N127,'[1]zawodnicy'!$A:$E,3,FALSE)," - ",VLOOKUP(N127,'[1]zawodnicy'!$A:$E,4,FALSE)),"")</f>
        <v>K0003 Robert KARNASIEWICZ - Mielec</v>
      </c>
      <c r="V127" s="190"/>
      <c r="W127" s="58" t="str">
        <f>IF(SUM(AP128:AQ128)=0,"",AQ128&amp;":"&amp;AP128)</f>
        <v>8:21</v>
      </c>
      <c r="X127" s="59"/>
      <c r="Y127" s="34" t="str">
        <f>IF(SUM(AP127:AQ127)=0,"",AP127&amp;":"&amp;AQ127)</f>
        <v>18:21</v>
      </c>
      <c r="Z127" s="178"/>
      <c r="AA127" s="183"/>
      <c r="AB127" s="183"/>
      <c r="AC127" s="186"/>
      <c r="AD127" s="2"/>
      <c r="AE127" s="22"/>
      <c r="AF127" s="22"/>
      <c r="AG127" s="41" t="s">
        <v>18</v>
      </c>
      <c r="AH127" s="60">
        <f>IF(ISBLANK(S127),"",VLOOKUP(S127,'[1]plan gier'!$X:$AN,12,FALSE))</f>
        <v>24</v>
      </c>
      <c r="AI127" s="61">
        <f>IF(ISBLANK(S127),"",VLOOKUP(S127,'[1]plan gier'!$X:$AN,13,FALSE))</f>
        <v>26</v>
      </c>
      <c r="AJ127" s="61">
        <f>IF(ISBLANK(S127),"",VLOOKUP(S127,'[1]plan gier'!$X:$AN,14,FALSE))</f>
        <v>18</v>
      </c>
      <c r="AK127" s="61">
        <f>IF(ISBLANK(S127),"",VLOOKUP(S127,'[1]plan gier'!$X:$AN,15,FALSE))</f>
        <v>21</v>
      </c>
      <c r="AL127" s="61">
        <f>IF(ISBLANK(S127),"",VLOOKUP(S127,'[1]plan gier'!$X:$AN,16,FALSE))</f>
        <v>0</v>
      </c>
      <c r="AM127" s="61">
        <f>IF(ISBLANK(S127),"",VLOOKUP(S127,'[1]plan gier'!$X:$AN,17,FALSE))</f>
        <v>0</v>
      </c>
      <c r="AN127" s="62">
        <f t="shared" si="9"/>
        <v>24</v>
      </c>
      <c r="AO127" s="61">
        <f t="shared" si="9"/>
        <v>26</v>
      </c>
      <c r="AP127" s="63">
        <f t="shared" si="9"/>
        <v>18</v>
      </c>
      <c r="AQ127" s="61">
        <f t="shared" si="9"/>
        <v>21</v>
      </c>
      <c r="AR127" s="63">
        <f t="shared" si="9"/>
        <v>0</v>
      </c>
      <c r="AS127" s="61">
        <f t="shared" si="9"/>
        <v>0</v>
      </c>
      <c r="AT127" s="51">
        <f>SUM(AN127:AS127)</f>
        <v>89</v>
      </c>
      <c r="AU127" s="52">
        <v>2</v>
      </c>
      <c r="AV127" s="60">
        <f>IF(AH128&lt;AI128,1,0)+IF(AJ128&lt;AK128,1,0)+IF(AL128&lt;AM128,1,0)</f>
        <v>0</v>
      </c>
      <c r="AW127" s="61">
        <f>AX126</f>
        <v>2</v>
      </c>
      <c r="AX127" s="64"/>
      <c r="AY127" s="65"/>
      <c r="AZ127" s="61">
        <f>IF(AH127&gt;AI127,1,0)+IF(AJ127&gt;AK127,1,0)+IF(AL127&gt;AM127,1,0)</f>
        <v>0</v>
      </c>
      <c r="BA127" s="66">
        <f>AX128</f>
        <v>2</v>
      </c>
      <c r="BD127" s="60">
        <f>AN127+AP127+AR127+AO128+AQ128+AS128</f>
        <v>62</v>
      </c>
      <c r="BE127" s="66">
        <f>AO127+AQ127+AS127+AN128+AP128+AR128</f>
        <v>89</v>
      </c>
      <c r="BF127" s="60">
        <f>AV127+AZ127</f>
        <v>0</v>
      </c>
      <c r="BG127" s="66">
        <f>AW127+BA127</f>
        <v>4</v>
      </c>
      <c r="BH127" s="60">
        <f>IF(AV127&gt;AW127,1,0)+IF(AZ127&gt;BA127,1,0)</f>
        <v>0</v>
      </c>
      <c r="BI127" s="67">
        <f>IF(AW127&gt;AV127,1,0)+IF(BA127&gt;AZ127,1,0)</f>
        <v>2</v>
      </c>
      <c r="BJ127" s="68">
        <f>IF(BH127+BI127=0,"",IF(BK127=MAX(BK126:BK128),1,IF(BK127=MIN(BK126:BK128),3,2)))</f>
        <v>3</v>
      </c>
      <c r="BK127" s="13">
        <f>IF(BH127+BI127&lt;&gt;0,BH127-BI127+(BF127-BG127)/100+(BD127-BE127)/10000,-2)</f>
        <v>-2.0427</v>
      </c>
    </row>
    <row r="128" spans="1:63" ht="11.25" customHeight="1" thickBot="1">
      <c r="A128" s="12">
        <f>S128</f>
        <v>31</v>
      </c>
      <c r="B128" s="2" t="str">
        <f>IF(N124="","",N124)</f>
        <v>B0009</v>
      </c>
      <c r="C128" s="2">
        <f>IF(N125="","",N125)</f>
      </c>
      <c r="D128" s="2" t="str">
        <f>IF(N127="","",N127)</f>
        <v>K0003</v>
      </c>
      <c r="E128" s="2">
        <f>IF(N128="","",N128)</f>
      </c>
      <c r="I128" s="2" t="str">
        <f>"3"&amp;O122&amp;N123</f>
        <v>31Old Boys</v>
      </c>
      <c r="J128" s="29" t="str">
        <f>IF(AC129="","",IF(AC123=3,N124,IF(AC126=3,N127,IF(AC129=3,N130,""))))</f>
        <v>K0003</v>
      </c>
      <c r="K128" s="29">
        <f>IF(AC129="","",IF(AC123=3,N125,IF(AC126=3,N128,IF(AC129=3,N131,""))))</f>
        <v>0</v>
      </c>
      <c r="M128" s="39" t="str">
        <f>N123</f>
        <v>Old Boys</v>
      </c>
      <c r="N128" s="35"/>
      <c r="O128" s="23"/>
      <c r="P128" s="23"/>
      <c r="Q128" s="40">
        <f>IF(AT128&gt;0,"",IF(A128=0,"",IF(VLOOKUP(A128,'[1]plan gier'!A:S,19,FALSE)="","",VLOOKUP(A128,'[1]plan gier'!A:S,19,FALSE))))</f>
      </c>
      <c r="R128" s="69" t="s">
        <v>19</v>
      </c>
      <c r="S128" s="42">
        <v>31</v>
      </c>
      <c r="T128" s="179"/>
      <c r="U128" s="191">
        <f>IF(N128&lt;&gt;"",CONCATENATE(VLOOKUP(N128,'[1]zawodnicy'!$A:$E,1,FALSE)," ",VLOOKUP(N128,'[1]zawodnicy'!$A:$E,2,FALSE)," ",VLOOKUP(N128,'[1]zawodnicy'!$A:$E,3,FALSE)," - ",VLOOKUP(N128,'[1]zawodnicy'!$A:$E,4,FALSE)),"")</f>
      </c>
      <c r="V128" s="192"/>
      <c r="W128" s="70">
        <f>IF(SUM(AR128:AS128)=0,"",AS128&amp;":"&amp;AR128)</f>
      </c>
      <c r="X128" s="59"/>
      <c r="Y128" s="37">
        <f>IF(SUM(AR127:AS127)=0,"",AR127&amp;":"&amp;AS127)</f>
      </c>
      <c r="Z128" s="179"/>
      <c r="AA128" s="184"/>
      <c r="AB128" s="184"/>
      <c r="AC128" s="187"/>
      <c r="AD128" s="2"/>
      <c r="AE128" s="22"/>
      <c r="AF128" s="22"/>
      <c r="AG128" s="69" t="s">
        <v>19</v>
      </c>
      <c r="AH128" s="71">
        <f>IF(ISBLANK(S128),"",VLOOKUP(S128,'[1]plan gier'!$X:$AN,12,FALSE))</f>
        <v>21</v>
      </c>
      <c r="AI128" s="72">
        <f>IF(ISBLANK(S128),"",VLOOKUP(S128,'[1]plan gier'!$X:$AN,13,FALSE))</f>
        <v>12</v>
      </c>
      <c r="AJ128" s="72">
        <f>IF(ISBLANK(S128),"",VLOOKUP(S128,'[1]plan gier'!$X:$AN,14,FALSE))</f>
        <v>21</v>
      </c>
      <c r="AK128" s="72">
        <f>IF(ISBLANK(S128),"",VLOOKUP(S128,'[1]plan gier'!$X:$AN,15,FALSE))</f>
        <v>8</v>
      </c>
      <c r="AL128" s="72">
        <f>IF(ISBLANK(S128),"",VLOOKUP(S128,'[1]plan gier'!$X:$AN,16,FALSE))</f>
        <v>0</v>
      </c>
      <c r="AM128" s="72">
        <f>IF(ISBLANK(S128),"",VLOOKUP(S128,'[1]plan gier'!$X:$AN,17,FALSE))</f>
        <v>0</v>
      </c>
      <c r="AN128" s="73">
        <f t="shared" si="9"/>
        <v>21</v>
      </c>
      <c r="AO128" s="72">
        <f t="shared" si="9"/>
        <v>12</v>
      </c>
      <c r="AP128" s="74">
        <f t="shared" si="9"/>
        <v>21</v>
      </c>
      <c r="AQ128" s="72">
        <f t="shared" si="9"/>
        <v>8</v>
      </c>
      <c r="AR128" s="74">
        <f t="shared" si="9"/>
        <v>0</v>
      </c>
      <c r="AS128" s="72">
        <f t="shared" si="9"/>
        <v>0</v>
      </c>
      <c r="AT128" s="51">
        <f>SUM(AN128:AS128)</f>
        <v>62</v>
      </c>
      <c r="AU128" s="52">
        <v>3</v>
      </c>
      <c r="AV128" s="71">
        <f>IF(AH126&lt;AI126,1,0)+IF(AJ126&lt;AK126,1,0)+IF(AL126&lt;AM126,1,0)</f>
        <v>0</v>
      </c>
      <c r="AW128" s="72">
        <f>AZ126</f>
        <v>2</v>
      </c>
      <c r="AX128" s="72">
        <f>IF(AH127&lt;AI127,1,0)+IF(AJ127&lt;AK127,1,0)+IF(AL127&lt;AM127,1,0)</f>
        <v>2</v>
      </c>
      <c r="AY128" s="72">
        <f>AZ127</f>
        <v>0</v>
      </c>
      <c r="AZ128" s="75"/>
      <c r="BA128" s="76"/>
      <c r="BD128" s="71">
        <f>AO126+AQ126+AS126+AO127+AQ127+AS127</f>
        <v>79</v>
      </c>
      <c r="BE128" s="77">
        <f>AN126+AP126+AR126+AN127+AP127+AR127</f>
        <v>84</v>
      </c>
      <c r="BF128" s="71">
        <f>AV128+AX128</f>
        <v>2</v>
      </c>
      <c r="BG128" s="77">
        <f>AW128+AY128</f>
        <v>2</v>
      </c>
      <c r="BH128" s="71">
        <f>IF(AV128&gt;AW128,1,0)+IF(AX128&gt;AY128,1,0)</f>
        <v>1</v>
      </c>
      <c r="BI128" s="78">
        <f>IF(AW128&gt;AV128,1,0)+IF(AY128&gt;AX128,1,0)</f>
        <v>1</v>
      </c>
      <c r="BJ128" s="79">
        <f>IF(BH128+BI128=0,"",IF(BK128=MAX(BK126:BK128),1,IF(BK128=MIN(BK126:BK128),3,2)))</f>
        <v>2</v>
      </c>
      <c r="BK128" s="13">
        <f>IF(BH128+BI128&lt;&gt;0,BH128-BI128+(BF128-BG128)/100+(BD128-BE128)/10000,-2)</f>
        <v>-0.0005</v>
      </c>
    </row>
    <row r="129" spans="1:59" ht="11.25" customHeight="1">
      <c r="A129" s="2"/>
      <c r="J129" s="23"/>
      <c r="K129" s="23"/>
      <c r="L129" s="23"/>
      <c r="O129" s="23"/>
      <c r="P129" s="23"/>
      <c r="Q129" s="2"/>
      <c r="R129" s="2"/>
      <c r="S129" s="2"/>
      <c r="T129" s="197">
        <v>3</v>
      </c>
      <c r="U129" s="198">
        <f>IF(AND(N130&lt;&gt;"",N131&lt;&gt;""),CONCATENATE(VLOOKUP(N130,'[1]zawodnicy'!$A:$E,1,FALSE)," ",VLOOKUP(N130,'[1]zawodnicy'!$A:$E,2,FALSE)," ",VLOOKUP(N130,'[1]zawodnicy'!$A:$E,3,FALSE)," - ",VLOOKUP(N130,'[1]zawodnicy'!$A:$E,4,FALSE)),"")</f>
      </c>
      <c r="V129" s="199"/>
      <c r="W129" s="43" t="str">
        <f>IF(SUM(AN126:AO126)=0,"",AO126&amp;":"&amp;AN126)</f>
        <v>19:21</v>
      </c>
      <c r="X129" s="80" t="str">
        <f>IF(SUM(AN127:AO127)=0,"",AO127&amp;":"&amp;AN127)</f>
        <v>26:24</v>
      </c>
      <c r="Y129" s="81"/>
      <c r="Z129" s="197" t="str">
        <f>IF(SUM(AV128:AY128)=0,"",BD128&amp;":"&amp;BE128)</f>
        <v>79:84</v>
      </c>
      <c r="AA129" s="200" t="str">
        <f>IF(SUM(AV128:AY128)=0,"",BF128&amp;":"&amp;BG128)</f>
        <v>2:2</v>
      </c>
      <c r="AB129" s="200" t="str">
        <f>IF(SUM(AV128:AY128)=0,"",BH128&amp;":"&amp;BI128)</f>
        <v>1:1</v>
      </c>
      <c r="AC129" s="201">
        <f>IF(SUM(BH126:BH128)&gt;0,BJ128,"")</f>
        <v>2</v>
      </c>
      <c r="AD129" s="2"/>
      <c r="AE129" s="22"/>
      <c r="AF129" s="22"/>
      <c r="BD129" s="12">
        <f>SUM(BD126:BD128)</f>
        <v>225</v>
      </c>
      <c r="BE129" s="12">
        <f>SUM(BE126:BE128)</f>
        <v>225</v>
      </c>
      <c r="BF129" s="12">
        <f>SUM(BF126:BF128)</f>
        <v>6</v>
      </c>
      <c r="BG129" s="12">
        <f>SUM(BG126:BG128)</f>
        <v>6</v>
      </c>
    </row>
    <row r="130" spans="1:63" ht="11.25" customHeight="1">
      <c r="A130" s="12"/>
      <c r="J130" s="12"/>
      <c r="K130" s="12"/>
      <c r="L130" s="12"/>
      <c r="N130" s="30" t="s">
        <v>34</v>
      </c>
      <c r="O130" s="31">
        <f>IF(O122&gt;0,(O122&amp;3)*1,"")</f>
        <v>13</v>
      </c>
      <c r="Q130" s="82"/>
      <c r="R130" s="82"/>
      <c r="S130" s="42"/>
      <c r="T130" s="178"/>
      <c r="U130" s="189" t="str">
        <f>IF(AND(N130&lt;&gt;"",N131=""),CONCATENATE(VLOOKUP(N130,'[1]zawodnicy'!$A:$E,1,FALSE)," ",VLOOKUP(N130,'[1]zawodnicy'!$A:$E,2,FALSE)," ",VLOOKUP(N130,'[1]zawodnicy'!$A:$E,3,FALSE)," - ",VLOOKUP(N130,'[1]zawodnicy'!$A:$E,4,FALSE)),"")</f>
        <v>M0008 Tadeusz MICHALIK - Tarnów</v>
      </c>
      <c r="V130" s="190"/>
      <c r="W130" s="58" t="str">
        <f>IF(SUM(AP126:AQ126)=0,"",AQ126&amp;":"&amp;AP126)</f>
        <v>13:21</v>
      </c>
      <c r="X130" s="33" t="str">
        <f>IF(SUM(AP127:AQ127)=0,"",AQ127&amp;":"&amp;AP127)</f>
        <v>21:18</v>
      </c>
      <c r="Y130" s="83"/>
      <c r="Z130" s="178"/>
      <c r="AA130" s="183"/>
      <c r="AB130" s="183"/>
      <c r="AC130" s="186"/>
      <c r="AD130" s="2"/>
      <c r="AE130" s="22"/>
      <c r="AF130" s="2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1" spans="1:63" ht="11.25" customHeight="1" thickBot="1">
      <c r="A131" s="2"/>
      <c r="J131" s="23"/>
      <c r="K131" s="23"/>
      <c r="L131" s="23"/>
      <c r="N131" s="35"/>
      <c r="O131" s="23"/>
      <c r="P131" s="23"/>
      <c r="Q131" s="2"/>
      <c r="R131" s="2"/>
      <c r="S131" s="2"/>
      <c r="T131" s="202"/>
      <c r="U131" s="205">
        <f>IF(N131&lt;&gt;"",CONCATENATE(VLOOKUP(N131,'[1]zawodnicy'!$A:$E,1,FALSE)," ",VLOOKUP(N131,'[1]zawodnicy'!$A:$E,2,FALSE)," ",VLOOKUP(N131,'[1]zawodnicy'!$A:$E,3,FALSE)," - ",VLOOKUP(N131,'[1]zawodnicy'!$A:$E,4,FALSE)),"")</f>
      </c>
      <c r="V131" s="206"/>
      <c r="W131" s="84">
        <f>IF(SUM(AR126:AS126)=0,"",AS126&amp;":"&amp;AR126)</f>
      </c>
      <c r="X131" s="85">
        <f>IF(SUM(AR127:AS127)=0,"",AS127&amp;":"&amp;AR127)</f>
      </c>
      <c r="Y131" s="86"/>
      <c r="Z131" s="202"/>
      <c r="AA131" s="203"/>
      <c r="AB131" s="203"/>
      <c r="AC131" s="204"/>
      <c r="AD131" s="29"/>
      <c r="AE131" s="22"/>
      <c r="AF131" s="2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</row>
    <row r="132" ht="11.25" customHeight="1"/>
    <row r="133" ht="11.25" customHeight="1"/>
    <row r="134" spans="13:31" ht="11.25" customHeight="1">
      <c r="M134" s="9"/>
      <c r="N134" s="10" t="s">
        <v>59</v>
      </c>
      <c r="Q134" s="171" t="str">
        <f>"Gra "&amp;N134</f>
        <v>Gra Open</v>
      </c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</row>
    <row r="135" ht="11.25" customHeight="1" thickBot="1"/>
    <row r="136" spans="14:45" ht="11.25" customHeight="1" thickBot="1">
      <c r="N136" s="88"/>
      <c r="O136" s="14">
        <v>1</v>
      </c>
      <c r="Q136" s="171" t="str">
        <f>"Grupa "&amp;O136&amp;"."</f>
        <v>Grupa 1.</v>
      </c>
      <c r="R136" s="171"/>
      <c r="S136" s="207"/>
      <c r="T136" s="15" t="s">
        <v>2</v>
      </c>
      <c r="U136" s="173" t="s">
        <v>3</v>
      </c>
      <c r="V136" s="208"/>
      <c r="W136" s="15">
        <v>1</v>
      </c>
      <c r="X136" s="90">
        <v>2</v>
      </c>
      <c r="Y136" s="17">
        <v>3</v>
      </c>
      <c r="Z136" s="16">
        <v>4</v>
      </c>
      <c r="AA136" s="91" t="s">
        <v>4</v>
      </c>
      <c r="AB136" s="92" t="s">
        <v>5</v>
      </c>
      <c r="AC136" s="20" t="s">
        <v>6</v>
      </c>
      <c r="AD136" s="93" t="s">
        <v>7</v>
      </c>
      <c r="AE136" s="22"/>
      <c r="AF136" s="22"/>
      <c r="AH136" s="188" t="s">
        <v>10</v>
      </c>
      <c r="AI136" s="188"/>
      <c r="AJ136" s="188"/>
      <c r="AK136" s="188"/>
      <c r="AL136" s="188"/>
      <c r="AM136" s="188"/>
      <c r="AN136" s="188" t="s">
        <v>11</v>
      </c>
      <c r="AO136" s="188"/>
      <c r="AP136" s="188"/>
      <c r="AQ136" s="188"/>
      <c r="AR136" s="188"/>
      <c r="AS136" s="188"/>
    </row>
    <row r="137" spans="14:32" ht="11.25" customHeight="1">
      <c r="N137" s="24" t="s">
        <v>59</v>
      </c>
      <c r="Q137" s="175" t="s">
        <v>8</v>
      </c>
      <c r="R137" s="175"/>
      <c r="S137" s="209" t="s">
        <v>9</v>
      </c>
      <c r="T137" s="178">
        <v>1</v>
      </c>
      <c r="U137" s="189">
        <f>IF(AND(N138&lt;&gt;"",N139&lt;&gt;""),CONCATENATE(VLOOKUP(N138,'[1]zawodnicy'!$A:$E,1,FALSE)," ",VLOOKUP(N138,'[1]zawodnicy'!$A:$E,2,FALSE)," ",VLOOKUP(N138,'[1]zawodnicy'!$A:$E,3,FALSE)," - ",VLOOKUP(N138,'[1]zawodnicy'!$A:$E,4,FALSE)),"")</f>
      </c>
      <c r="V137" s="210"/>
      <c r="W137" s="32"/>
      <c r="X137" s="33" t="str">
        <f>IF(SUM(AN145:AO145)=0,"",AN145&amp;":"&amp;AO145)</f>
        <v>21:0</v>
      </c>
      <c r="Y137" s="33" t="str">
        <f>IF(SUM(AN140:AO140)=0,"",AN140&amp;":"&amp;AO140)</f>
        <v>21:17</v>
      </c>
      <c r="Z137" s="94" t="str">
        <f>IF(SUM(AN142:AO142)=0,"",AN142&amp;":"&amp;AO142)</f>
        <v>21:13</v>
      </c>
      <c r="AA137" s="178" t="str">
        <f>IF(SUM(AX140:BC140)=0,"",BD140&amp;":"&amp;BE140)</f>
        <v>126:57</v>
      </c>
      <c r="AB137" s="183" t="str">
        <f>IF(SUM(AX140:BC140)=0,"",BF140&amp;":"&amp;BG140)</f>
        <v>6:0</v>
      </c>
      <c r="AC137" s="183" t="str">
        <f>IF(SUM(AX140:BC140)=0,"",BH140&amp;":"&amp;BI140)</f>
        <v>3:0</v>
      </c>
      <c r="AD137" s="186">
        <f>IF(SUM(BH140:BH143)&gt;0,BJ140,"")</f>
        <v>1</v>
      </c>
      <c r="AE137" s="22"/>
      <c r="AF137" s="22"/>
    </row>
    <row r="138" spans="8:32" ht="11.25" customHeight="1" thickBot="1">
      <c r="H138" s="29"/>
      <c r="I138" s="2" t="str">
        <f>"1"&amp;O136&amp;N137</f>
        <v>11Open</v>
      </c>
      <c r="J138" s="29" t="str">
        <f>IF(AD137="","",IF(AD137=1,N138,IF(AD140=1,N141,IF(AD143=1,N144,IF(AD146=1,N147,"")))))</f>
        <v>K0033</v>
      </c>
      <c r="K138" s="29">
        <f>IF(AD137="","",IF(AD137=1,N139,IF(AD140=1,N142,IF(AD143=1,N145,IF(AD146=1,N148,"")))))</f>
        <v>0</v>
      </c>
      <c r="L138" s="29"/>
      <c r="N138" s="30" t="s">
        <v>60</v>
      </c>
      <c r="O138" s="31">
        <f>IF(O136&gt;0,(O136&amp;1)*1,"")</f>
        <v>11</v>
      </c>
      <c r="Q138" s="175"/>
      <c r="R138" s="175"/>
      <c r="S138" s="209"/>
      <c r="T138" s="178"/>
      <c r="U138" s="189" t="str">
        <f>IF(AND(N138&lt;&gt;"",N139=""),CONCATENATE(VLOOKUP(N138,'[1]zawodnicy'!$A:$E,1,FALSE)," ",VLOOKUP(N138,'[1]zawodnicy'!$A:$E,2,FALSE)," ",VLOOKUP(N138,'[1]zawodnicy'!$A:$E,3,FALSE)," - ",VLOOKUP(N138,'[1]zawodnicy'!$A:$E,4,FALSE)),"")</f>
        <v>K0033 Marek KAMIŃSKI - Nowa Dęba</v>
      </c>
      <c r="V138" s="210"/>
      <c r="W138" s="32"/>
      <c r="X138" s="33" t="str">
        <f>IF(SUM(AP145:AQ145)=0,"",AP145&amp;":"&amp;AQ145)</f>
        <v>21:0</v>
      </c>
      <c r="Y138" s="33" t="str">
        <f>IF(SUM(AP140:AQ140)=0,"",AP140&amp;":"&amp;AQ140)</f>
        <v>21:11</v>
      </c>
      <c r="Z138" s="94" t="str">
        <f>IF(SUM(AP142:AQ142)=0,"",AP142&amp;":"&amp;AQ142)</f>
        <v>21:16</v>
      </c>
      <c r="AA138" s="178"/>
      <c r="AB138" s="183"/>
      <c r="AC138" s="183"/>
      <c r="AD138" s="186"/>
      <c r="AE138" s="22"/>
      <c r="AF138" s="22"/>
    </row>
    <row r="139" spans="10:62" ht="11.25" customHeight="1" thickBot="1">
      <c r="J139" s="29"/>
      <c r="K139" s="23"/>
      <c r="L139" s="23"/>
      <c r="N139" s="35"/>
      <c r="O139" s="23"/>
      <c r="P139" s="23"/>
      <c r="Q139" s="175"/>
      <c r="R139" s="175"/>
      <c r="S139" s="209"/>
      <c r="T139" s="179"/>
      <c r="U139" s="191">
        <f>IF(N139&lt;&gt;"",CONCATENATE(VLOOKUP(N139,'[1]zawodnicy'!$A:$E,1,FALSE)," ",VLOOKUP(N139,'[1]zawodnicy'!$A:$E,2,FALSE)," ",VLOOKUP(N139,'[1]zawodnicy'!$A:$E,3,FALSE)," - ",VLOOKUP(N139,'[1]zawodnicy'!$A:$E,4,FALSE)),"")</f>
      </c>
      <c r="V139" s="211"/>
      <c r="W139" s="32"/>
      <c r="X139" s="36">
        <f>IF(SUM(AR145:AS145)=0,"",AR145&amp;":"&amp;AS145)</f>
      </c>
      <c r="Y139" s="36">
        <f>IF(SUM(AR140:AS140)=0,"",AR140&amp;":"&amp;AS140)</f>
      </c>
      <c r="Z139" s="95">
        <f>IF(SUM(AR142:AS142)=0,"",AR142&amp;":"&amp;AS142)</f>
      </c>
      <c r="AA139" s="178"/>
      <c r="AB139" s="183"/>
      <c r="AC139" s="183"/>
      <c r="AD139" s="186"/>
      <c r="AE139" s="22"/>
      <c r="AF139" s="22"/>
      <c r="AH139" s="212" t="s">
        <v>13</v>
      </c>
      <c r="AI139" s="213"/>
      <c r="AJ139" s="213" t="s">
        <v>14</v>
      </c>
      <c r="AK139" s="213"/>
      <c r="AL139" s="213" t="s">
        <v>15</v>
      </c>
      <c r="AM139" s="213"/>
      <c r="AN139" s="212" t="s">
        <v>13</v>
      </c>
      <c r="AO139" s="213"/>
      <c r="AP139" s="213" t="s">
        <v>14</v>
      </c>
      <c r="AQ139" s="213"/>
      <c r="AR139" s="213" t="s">
        <v>15</v>
      </c>
      <c r="AS139" s="214"/>
      <c r="AV139" s="212">
        <v>1</v>
      </c>
      <c r="AW139" s="213"/>
      <c r="AX139" s="213">
        <v>2</v>
      </c>
      <c r="AY139" s="213"/>
      <c r="AZ139" s="213">
        <v>3</v>
      </c>
      <c r="BA139" s="213"/>
      <c r="BB139" s="213">
        <v>4</v>
      </c>
      <c r="BC139" s="214"/>
      <c r="BD139" s="212" t="s">
        <v>4</v>
      </c>
      <c r="BE139" s="214"/>
      <c r="BF139" s="212" t="s">
        <v>5</v>
      </c>
      <c r="BG139" s="214"/>
      <c r="BH139" s="212" t="s">
        <v>6</v>
      </c>
      <c r="BI139" s="195"/>
      <c r="BJ139" s="38" t="s">
        <v>7</v>
      </c>
    </row>
    <row r="140" spans="1:63" ht="11.25" customHeight="1">
      <c r="A140" s="12">
        <f aca="true" t="shared" si="10" ref="A140:A145">S140</f>
        <v>32</v>
      </c>
      <c r="B140" s="12" t="str">
        <f>IF(N138="","",N138)</f>
        <v>K0033</v>
      </c>
      <c r="C140" s="12">
        <f>IF(N139="","",N139)</f>
      </c>
      <c r="D140" s="12" t="str">
        <f>IF(N144="","",N144)</f>
        <v>K0011</v>
      </c>
      <c r="E140" s="12">
        <f>IF(N145="","",N145)</f>
      </c>
      <c r="H140" s="29"/>
      <c r="I140" s="2" t="str">
        <f>"2"&amp;O136&amp;N137</f>
        <v>21Open</v>
      </c>
      <c r="J140" s="29" t="str">
        <f>IF(AD140="","",IF(AD137=2,N138,IF(AD140=2,N141,IF(AD143=2,N144,IF(AD146=2,N147,"")))))</f>
        <v>K0001</v>
      </c>
      <c r="K140" s="29">
        <f>IF(AD140="","",IF(AD137=2,N139,IF(AD140=2,N142,IF(AD143=2,N145,IF(AD146=2,N148,"")))))</f>
        <v>0</v>
      </c>
      <c r="L140" s="29"/>
      <c r="M140" s="39" t="str">
        <f>N137</f>
        <v>Open</v>
      </c>
      <c r="O140" s="23"/>
      <c r="P140" s="23"/>
      <c r="Q140" s="40">
        <f>IF(AT140&gt;0,"",IF(A140=0,"",IF(VLOOKUP(A140,'[1]plan gier'!A:S,19,FALSE)="","",VLOOKUP(A140,'[1]plan gier'!A:S,19,FALSE))))</f>
      </c>
      <c r="R140" s="41" t="s">
        <v>16</v>
      </c>
      <c r="S140" s="96">
        <v>32</v>
      </c>
      <c r="T140" s="197">
        <v>2</v>
      </c>
      <c r="U140" s="198">
        <f>IF(AND(N141&lt;&gt;"",N142&lt;&gt;""),CONCATENATE(VLOOKUP(N141,'[1]zawodnicy'!$A:$E,1,FALSE)," ",VLOOKUP(N141,'[1]zawodnicy'!$A:$E,2,FALSE)," ",VLOOKUP(N141,'[1]zawodnicy'!$A:$E,3,FALSE)," - ",VLOOKUP(N141,'[1]zawodnicy'!$A:$E,4,FALSE)),"")</f>
      </c>
      <c r="V140" s="215"/>
      <c r="W140" s="43" t="str">
        <f>IF(SUM(AN145:AO145)=0,"",AO145&amp;":"&amp;AN145)</f>
        <v>0:21</v>
      </c>
      <c r="X140" s="97"/>
      <c r="Y140" s="80" t="str">
        <f>IF(SUM(AN143:AO143)=0,"",AN143&amp;":"&amp;AO143)</f>
        <v>0:21</v>
      </c>
      <c r="Z140" s="45" t="str">
        <f>IF(SUM(AN141:AO141)=0,"",AN141&amp;":"&amp;AO141)</f>
        <v>0:21</v>
      </c>
      <c r="AA140" s="197" t="str">
        <f>IF(SUM(AV141:AW141,AZ141:BC141)=0,"",BD141&amp;":"&amp;BE141)</f>
        <v>0:126</v>
      </c>
      <c r="AB140" s="200" t="str">
        <f>IF(SUM(AV141:AW141,AZ141:BC141)=0,"",BF141&amp;":"&amp;BG141)</f>
        <v>0:6</v>
      </c>
      <c r="AC140" s="200" t="str">
        <f>IF(SUM(AV141:AW141,AZ141:BC141)=0,"",BH141&amp;":"&amp;BI141)</f>
        <v>0:3</v>
      </c>
      <c r="AD140" s="201">
        <f>IF(SUM(BH140:BH143)&gt;0,BJ141,"")</f>
        <v>4</v>
      </c>
      <c r="AE140" s="22"/>
      <c r="AF140" s="22"/>
      <c r="AG140" s="41" t="s">
        <v>16</v>
      </c>
      <c r="AH140" s="98">
        <f>IF(ISBLANK(S140),"",VLOOKUP(S140,'[1]plan gier'!$X:$AN,12,FALSE))</f>
        <v>21</v>
      </c>
      <c r="AI140" s="49">
        <f>IF(ISBLANK(S140),"",VLOOKUP(S140,'[1]plan gier'!$X:$AN,13,FALSE))</f>
        <v>17</v>
      </c>
      <c r="AJ140" s="49">
        <f>IF(ISBLANK(S140),"",VLOOKUP(S140,'[1]plan gier'!$X:$AN,14,FALSE))</f>
        <v>21</v>
      </c>
      <c r="AK140" s="49">
        <f>IF(ISBLANK(S140),"",VLOOKUP(S140,'[1]plan gier'!$X:$AN,15,FALSE))</f>
        <v>11</v>
      </c>
      <c r="AL140" s="49">
        <f>IF(ISBLANK(S140),"",VLOOKUP(S140,'[1]plan gier'!$X:$AN,16,FALSE))</f>
        <v>0</v>
      </c>
      <c r="AM140" s="49">
        <f>IF(ISBLANK(S140),"",VLOOKUP(S140,'[1]plan gier'!$X:$AN,17,FALSE))</f>
        <v>0</v>
      </c>
      <c r="AN140" s="46">
        <f aca="true" t="shared" si="11" ref="AN140:AS145">IF(AH140="",0,AH140)</f>
        <v>21</v>
      </c>
      <c r="AO140" s="47">
        <f t="shared" si="11"/>
        <v>17</v>
      </c>
      <c r="AP140" s="47">
        <f t="shared" si="11"/>
        <v>21</v>
      </c>
      <c r="AQ140" s="47">
        <f t="shared" si="11"/>
        <v>11</v>
      </c>
      <c r="AR140" s="47">
        <f t="shared" si="11"/>
        <v>0</v>
      </c>
      <c r="AS140" s="55">
        <f t="shared" si="11"/>
        <v>0</v>
      </c>
      <c r="AT140" s="99">
        <f aca="true" t="shared" si="12" ref="AT140:AT145">SUM(AN140:AS140)</f>
        <v>70</v>
      </c>
      <c r="AU140" s="87">
        <v>1</v>
      </c>
      <c r="AV140" s="216"/>
      <c r="AW140" s="217"/>
      <c r="AX140" s="47">
        <f>IF(AH145&gt;AI145,1,0)+IF(AJ145&gt;AK145,1,0)+IF(AL145&gt;AM145,1,0)</f>
        <v>2</v>
      </c>
      <c r="AY140" s="47">
        <f>AV141</f>
        <v>0</v>
      </c>
      <c r="AZ140" s="47">
        <f>IF(AH140&gt;AI140,1,0)+IF(AJ140&gt;AK140,1,0)+IF(AL140&gt;AM140,1,0)</f>
        <v>2</v>
      </c>
      <c r="BA140" s="49">
        <f>AV142</f>
        <v>0</v>
      </c>
      <c r="BB140" s="100">
        <f>IF(AH142&gt;AI142,1,0)+IF(AJ142&gt;AK142,1,0)+IF(AL142&gt;AM142,1,0)</f>
        <v>2</v>
      </c>
      <c r="BC140" s="56">
        <f>AV143</f>
        <v>0</v>
      </c>
      <c r="BD140" s="98">
        <f>AN140+AP140+AR140+AN142+AP142+AR142+AN145+AP145+AR145</f>
        <v>126</v>
      </c>
      <c r="BE140" s="101">
        <f>AO140+AQ140+AS140+AO142+AQ142+AS142+AO145+AQ145+AS145</f>
        <v>57</v>
      </c>
      <c r="BF140" s="98">
        <f>AX140+AZ140+BB140</f>
        <v>6</v>
      </c>
      <c r="BG140" s="102">
        <f>AY140+BA140+BC140</f>
        <v>0</v>
      </c>
      <c r="BH140" s="98">
        <f>IF(AX140&gt;AY140,1,0)+IF(AZ140&gt;BA140,1,0)+IF(BB140&gt;BC140,1,0)</f>
        <v>3</v>
      </c>
      <c r="BI140" s="102">
        <f>IF(AY140&gt;AX140,1,0)+IF(BA140&gt;AZ140,1,0)+IF(BC140&gt;BB140,1,0)</f>
        <v>0</v>
      </c>
      <c r="BJ140" s="103">
        <f>IF(BH140+BI140=0,"",IF(BK140=MAX(BK140:BK143),1,IF(BK140=LARGE(BK140:BK143,2),2,IF(BK140=MIN(BK140:BK143),4,3))))</f>
        <v>1</v>
      </c>
      <c r="BK140" s="104">
        <f>IF(BH140+BI140&lt;&gt;0,BH140-BI140+(BF140-BG140)/100+(BD140-BE140)/10000,-3)</f>
        <v>3.0669</v>
      </c>
    </row>
    <row r="141" spans="1:63" ht="11.25" customHeight="1">
      <c r="A141" s="12">
        <f t="shared" si="10"/>
        <v>33</v>
      </c>
      <c r="B141" s="12" t="str">
        <f>IF(N141="","",N141)</f>
        <v>R0008</v>
      </c>
      <c r="C141" s="12">
        <f>IF(N142="","",N142)</f>
      </c>
      <c r="D141" s="12" t="str">
        <f>IF(N147="","",N147)</f>
        <v>K0001</v>
      </c>
      <c r="E141" s="12">
        <f>IF(N148="","",N148)</f>
      </c>
      <c r="J141" s="29"/>
      <c r="K141" s="12"/>
      <c r="L141" s="12"/>
      <c r="M141" s="39" t="str">
        <f>N137</f>
        <v>Open</v>
      </c>
      <c r="N141" s="30" t="s">
        <v>61</v>
      </c>
      <c r="O141" s="31">
        <f>IF(O136&gt;0,(O136&amp;2)*1,"")</f>
        <v>12</v>
      </c>
      <c r="Q141" s="40">
        <f>IF(AT141&gt;0,"",IF(A141=0,"",IF(VLOOKUP(A141,'[1]plan gier'!A:S,19,FALSE)="","",VLOOKUP(A141,'[1]plan gier'!A:S,19,FALSE))))</f>
      </c>
      <c r="R141" s="41" t="s">
        <v>26</v>
      </c>
      <c r="S141" s="96">
        <v>33</v>
      </c>
      <c r="T141" s="178"/>
      <c r="U141" s="189" t="str">
        <f>IF(AND(N141&lt;&gt;"",N142=""),CONCATENATE(VLOOKUP(N141,'[1]zawodnicy'!$A:$E,1,FALSE)," ",VLOOKUP(N141,'[1]zawodnicy'!$A:$E,2,FALSE)," ",VLOOKUP(N141,'[1]zawodnicy'!$A:$E,3,FALSE)," - ",VLOOKUP(N141,'[1]zawodnicy'!$A:$E,4,FALSE)),"")</f>
        <v>R0008 Dawid RZESZUTEK - Mielec</v>
      </c>
      <c r="V141" s="210"/>
      <c r="W141" s="58" t="str">
        <f>IF(SUM(AP145:AQ145)=0,"",AQ145&amp;":"&amp;AP145)</f>
        <v>0:21</v>
      </c>
      <c r="X141" s="105"/>
      <c r="Y141" s="33" t="str">
        <f>IF(SUM(AP143:AQ143)=0,"",AP143&amp;":"&amp;AQ143)</f>
        <v>0:21</v>
      </c>
      <c r="Z141" s="34" t="str">
        <f>IF(SUM(AP141:AQ141)=0,"",AP141&amp;":"&amp;AQ141)</f>
        <v>0:21</v>
      </c>
      <c r="AA141" s="178"/>
      <c r="AB141" s="183"/>
      <c r="AC141" s="183"/>
      <c r="AD141" s="186"/>
      <c r="AE141" s="22"/>
      <c r="AF141" s="22"/>
      <c r="AG141" s="41" t="s">
        <v>26</v>
      </c>
      <c r="AH141" s="46">
        <f>IF(ISBLANK(S141),"",VLOOKUP(S141,'[1]plan gier'!$X:$AN,12,FALSE))</f>
        <v>0</v>
      </c>
      <c r="AI141" s="47">
        <f>IF(ISBLANK(S141),"",VLOOKUP(S141,'[1]plan gier'!$X:$AN,13,FALSE))</f>
        <v>21</v>
      </c>
      <c r="AJ141" s="47">
        <f>IF(ISBLANK(S141),"",VLOOKUP(S141,'[1]plan gier'!$X:$AN,14,FALSE))</f>
        <v>0</v>
      </c>
      <c r="AK141" s="47">
        <f>IF(ISBLANK(S141),"",VLOOKUP(S141,'[1]plan gier'!$X:$AN,15,FALSE))</f>
        <v>21</v>
      </c>
      <c r="AL141" s="47">
        <f>IF(ISBLANK(S141),"",VLOOKUP(S141,'[1]plan gier'!$X:$AN,16,FALSE))</f>
        <v>0</v>
      </c>
      <c r="AM141" s="47">
        <f>IF(ISBLANK(S141),"",VLOOKUP(S141,'[1]plan gier'!$X:$AN,17,FALSE))</f>
        <v>0</v>
      </c>
      <c r="AN141" s="60">
        <f t="shared" si="11"/>
        <v>0</v>
      </c>
      <c r="AO141" s="61">
        <f t="shared" si="11"/>
        <v>21</v>
      </c>
      <c r="AP141" s="61">
        <f t="shared" si="11"/>
        <v>0</v>
      </c>
      <c r="AQ141" s="61">
        <f t="shared" si="11"/>
        <v>21</v>
      </c>
      <c r="AR141" s="61">
        <f t="shared" si="11"/>
        <v>0</v>
      </c>
      <c r="AS141" s="66">
        <f t="shared" si="11"/>
        <v>0</v>
      </c>
      <c r="AT141" s="99">
        <f t="shared" si="12"/>
        <v>42</v>
      </c>
      <c r="AU141" s="87">
        <v>2</v>
      </c>
      <c r="AV141" s="60">
        <f>IF(AH145&lt;AI145,1,0)+IF(AJ145&lt;AK145,1,0)+IF(AL145&lt;AM145,1,0)</f>
        <v>0</v>
      </c>
      <c r="AW141" s="61">
        <f>AX140</f>
        <v>2</v>
      </c>
      <c r="AX141" s="106"/>
      <c r="AY141" s="107"/>
      <c r="AZ141" s="61">
        <f>IF(AH143&gt;AI143,1,0)+IF(AJ143&gt;AK143,1,0)+IF(AL143&gt;AM143,1,0)</f>
        <v>0</v>
      </c>
      <c r="BA141" s="61">
        <f>AX142</f>
        <v>2</v>
      </c>
      <c r="BB141" s="108">
        <f>IF(AH141&gt;AI141,1,0)+IF(AJ141&gt;AK141,1,0)+IF(AL141&gt;AM141,1,0)</f>
        <v>0</v>
      </c>
      <c r="BC141" s="67">
        <f>AX143</f>
        <v>2</v>
      </c>
      <c r="BD141" s="60">
        <f>AN141+AP141+AR141+AN143+AP143+AR143+AO145+AQ145+AS145</f>
        <v>0</v>
      </c>
      <c r="BE141" s="67">
        <f>AO141+AQ141+AS141+AO143+AQ143+AS143+AN145+AP145+AR145</f>
        <v>126</v>
      </c>
      <c r="BF141" s="60">
        <f>AV141+AZ141+BB141</f>
        <v>0</v>
      </c>
      <c r="BG141" s="66">
        <f>AW141+BA141+BC141</f>
        <v>6</v>
      </c>
      <c r="BH141" s="60">
        <f>IF(AV141&gt;AW141,1,0)+IF(AZ141&gt;BA141,1,0)+IF(BB141&gt;BC141,1,0)</f>
        <v>0</v>
      </c>
      <c r="BI141" s="66">
        <f>IF(AW141&gt;AV141,1,0)+IF(BA141&gt;AZ141,1,0)+IF(BC141&gt;BB141,1,0)</f>
        <v>3</v>
      </c>
      <c r="BJ141" s="68">
        <f>IF(BH141+BI141=0,"",IF(BK141=MAX(BK140:BK143),1,IF(BK141=LARGE(BK140:BK143,2),2,IF(BK141=MIN(BK140:BK143),4,3))))</f>
        <v>4</v>
      </c>
      <c r="BK141" s="104">
        <f>IF(BH141+BI141&lt;&gt;0,BH141-BI141+(BF141-BG141)/100+(BD141-BE141)/10000,-3)</f>
        <v>-3.0726</v>
      </c>
    </row>
    <row r="142" spans="1:63" ht="11.25" customHeight="1">
      <c r="A142" s="12">
        <f t="shared" si="10"/>
        <v>35</v>
      </c>
      <c r="B142" s="12" t="str">
        <f>IF(N138="","",N138)</f>
        <v>K0033</v>
      </c>
      <c r="C142" s="12">
        <f>IF(N139="","",N139)</f>
      </c>
      <c r="D142" s="12" t="str">
        <f>IF(N147="","",N147)</f>
        <v>K0001</v>
      </c>
      <c r="E142" s="12">
        <f>IF(N148="","",N148)</f>
      </c>
      <c r="H142" s="29"/>
      <c r="I142" s="2" t="str">
        <f>"3"&amp;O136&amp;N137</f>
        <v>31Open</v>
      </c>
      <c r="J142" s="29" t="str">
        <f>IF(AD143="","",IF(AD137=3,N138,IF(AD140=3,N141,IF(AD143=3,N144,IF(AD146=3,N147,"")))))</f>
        <v>K0011</v>
      </c>
      <c r="K142" s="29">
        <f>IF(AD143="","",IF(AD137=3,N139,IF(AD140=3,N142,IF(AD143=3,N145,IF(AD146=3,N148,"")))))</f>
        <v>0</v>
      </c>
      <c r="L142" s="29"/>
      <c r="M142" s="39" t="str">
        <f>N137</f>
        <v>Open</v>
      </c>
      <c r="N142" s="35"/>
      <c r="O142" s="23"/>
      <c r="P142" s="23"/>
      <c r="Q142" s="40">
        <f>IF(AT142&gt;0,"",IF(A142=0,"",IF(VLOOKUP(A142,'[1]plan gier'!A:S,19,FALSE)="","",VLOOKUP(A142,'[1]plan gier'!A:S,19,FALSE))))</f>
      </c>
      <c r="R142" s="41" t="s">
        <v>27</v>
      </c>
      <c r="S142" s="96">
        <v>35</v>
      </c>
      <c r="T142" s="179"/>
      <c r="U142" s="191">
        <f>IF(N142&lt;&gt;"",CONCATENATE(VLOOKUP(N142,'[1]zawodnicy'!$A:$E,1,FALSE)," ",VLOOKUP(N142,'[1]zawodnicy'!$A:$E,2,FALSE)," ",VLOOKUP(N142,'[1]zawodnicy'!$A:$E,3,FALSE)," - ",VLOOKUP(N142,'[1]zawodnicy'!$A:$E,4,FALSE)),"")</f>
      </c>
      <c r="V142" s="211"/>
      <c r="W142" s="70">
        <f>IF(SUM(AR145:AS145)=0,"",AS145&amp;":"&amp;AR145)</f>
      </c>
      <c r="X142" s="105"/>
      <c r="Y142" s="36">
        <f>IF(SUM(AR143:AS143)=0,"",AR143&amp;":"&amp;AS143)</f>
      </c>
      <c r="Z142" s="37">
        <f>IF(SUM(AR141:AS141)=0,"",AR141&amp;":"&amp;AS141)</f>
      </c>
      <c r="AA142" s="178"/>
      <c r="AB142" s="183"/>
      <c r="AC142" s="183"/>
      <c r="AD142" s="186"/>
      <c r="AE142" s="22"/>
      <c r="AF142" s="22"/>
      <c r="AG142" s="41" t="s">
        <v>27</v>
      </c>
      <c r="AH142" s="46">
        <f>IF(ISBLANK(S142),"",VLOOKUP(S142,'[1]plan gier'!$X:$AN,12,FALSE))</f>
        <v>21</v>
      </c>
      <c r="AI142" s="47">
        <f>IF(ISBLANK(S142),"",VLOOKUP(S142,'[1]plan gier'!$X:$AN,13,FALSE))</f>
        <v>13</v>
      </c>
      <c r="AJ142" s="47">
        <f>IF(ISBLANK(S142),"",VLOOKUP(S142,'[1]plan gier'!$X:$AN,14,FALSE))</f>
        <v>21</v>
      </c>
      <c r="AK142" s="47">
        <f>IF(ISBLANK(S142),"",VLOOKUP(S142,'[1]plan gier'!$X:$AN,15,FALSE))</f>
        <v>16</v>
      </c>
      <c r="AL142" s="47">
        <f>IF(ISBLANK(S142),"",VLOOKUP(S142,'[1]plan gier'!$X:$AN,16,FALSE))</f>
        <v>0</v>
      </c>
      <c r="AM142" s="47">
        <f>IF(ISBLANK(S142),"",VLOOKUP(S142,'[1]plan gier'!$X:$AN,17,FALSE))</f>
        <v>0</v>
      </c>
      <c r="AN142" s="60">
        <f t="shared" si="11"/>
        <v>21</v>
      </c>
      <c r="AO142" s="61">
        <f t="shared" si="11"/>
        <v>13</v>
      </c>
      <c r="AP142" s="61">
        <f t="shared" si="11"/>
        <v>21</v>
      </c>
      <c r="AQ142" s="61">
        <f t="shared" si="11"/>
        <v>16</v>
      </c>
      <c r="AR142" s="61">
        <f t="shared" si="11"/>
        <v>0</v>
      </c>
      <c r="AS142" s="66">
        <f t="shared" si="11"/>
        <v>0</v>
      </c>
      <c r="AT142" s="99">
        <f t="shared" si="12"/>
        <v>71</v>
      </c>
      <c r="AU142" s="87">
        <v>3</v>
      </c>
      <c r="AV142" s="60">
        <f>IF(AH140&lt;AI140,1,0)+IF(AJ140&lt;AK140,1,0)+IF(AL140&lt;AM140,1,0)</f>
        <v>0</v>
      </c>
      <c r="AW142" s="61">
        <f>AZ140</f>
        <v>2</v>
      </c>
      <c r="AX142" s="61">
        <f>IF(AH143&lt;AI143,1,0)+IF(AJ143&lt;AK143,1,0)+IF(AL143&lt;AM143,1,0)</f>
        <v>2</v>
      </c>
      <c r="AY142" s="61">
        <f>AZ141</f>
        <v>0</v>
      </c>
      <c r="AZ142" s="106"/>
      <c r="BA142" s="107"/>
      <c r="BB142" s="61">
        <f>IF(AH144&gt;AI144,1,0)+IF(AJ144&gt;AK144,1,0)+IF(AL144&gt;AM144,1,0)</f>
        <v>0</v>
      </c>
      <c r="BC142" s="67">
        <f>AZ143</f>
        <v>2</v>
      </c>
      <c r="BD142" s="109">
        <f>AO140+AQ140+AS140+AO143+AQ143+AS143+AN144+AP144+AR144</f>
        <v>102</v>
      </c>
      <c r="BE142" s="110">
        <f>AN140+AP140+AR140+AN143+AP143+AR143+AO144+AQ144+AS144</f>
        <v>84</v>
      </c>
      <c r="BF142" s="109">
        <f>AV142+AX142+BB142</f>
        <v>2</v>
      </c>
      <c r="BG142" s="111">
        <f>AW142+AY142+BC142</f>
        <v>4</v>
      </c>
      <c r="BH142" s="60">
        <f>IF(AV142&gt;AW142,1,0)+IF(AX142&gt;AY142,1,0)+IF(BB142&gt;BC142,1,0)</f>
        <v>1</v>
      </c>
      <c r="BI142" s="66">
        <f>IF(AW142&gt;AV142,1,0)+IF(AY142&gt;AX142,1,0)+IF(BC142&gt;BB142,1,0)</f>
        <v>2</v>
      </c>
      <c r="BJ142" s="68">
        <f>IF(BH142+BI142=0,"",IF(BK142=MAX(BK140:BK143),1,IF(BK142=LARGE(BK140:BK143,2),2,IF(BK142=MIN(BK140:BK143),4,3))))</f>
        <v>3</v>
      </c>
      <c r="BK142" s="104">
        <f>IF(BH142+BI142&lt;&gt;0,BH142-BI142+(BF142-BG142)/100+(BD142-BE142)/10000,-3)</f>
        <v>-1.0182</v>
      </c>
    </row>
    <row r="143" spans="1:63" ht="11.25" customHeight="1" thickBot="1">
      <c r="A143" s="12">
        <f t="shared" si="10"/>
        <v>36</v>
      </c>
      <c r="B143" s="12" t="str">
        <f>IF(N141="","",N141)</f>
        <v>R0008</v>
      </c>
      <c r="C143" s="12">
        <f>IF(N142="","",N142)</f>
      </c>
      <c r="D143" s="12" t="str">
        <f>IF(N144="","",N144)</f>
        <v>K0011</v>
      </c>
      <c r="E143" s="12">
        <f>IF(N145="","",N145)</f>
      </c>
      <c r="J143" s="29"/>
      <c r="K143" s="23"/>
      <c r="L143" s="23"/>
      <c r="M143" s="39" t="str">
        <f>N137</f>
        <v>Open</v>
      </c>
      <c r="O143" s="23"/>
      <c r="P143" s="23"/>
      <c r="Q143" s="40">
        <f>IF(AT143&gt;0,"",IF(A143=0,"",IF(VLOOKUP(A143,'[1]plan gier'!A:S,19,FALSE)="","",VLOOKUP(A143,'[1]plan gier'!A:S,19,FALSE))))</f>
      </c>
      <c r="R143" s="41" t="s">
        <v>18</v>
      </c>
      <c r="S143" s="96">
        <v>36</v>
      </c>
      <c r="T143" s="197">
        <v>3</v>
      </c>
      <c r="U143" s="198">
        <f>IF(AND(N144&lt;&gt;"",N145&lt;&gt;""),CONCATENATE(VLOOKUP(N144,'[1]zawodnicy'!$A:$E,1,FALSE)," ",VLOOKUP(N144,'[1]zawodnicy'!$A:$E,2,FALSE)," ",VLOOKUP(N144,'[1]zawodnicy'!$A:$E,3,FALSE)," - ",VLOOKUP(N144,'[1]zawodnicy'!$A:$E,4,FALSE)),"")</f>
      </c>
      <c r="V143" s="215"/>
      <c r="W143" s="43" t="str">
        <f>IF(SUM(AN140:AO140)=0,"",AO140&amp;":"&amp;AN140)</f>
        <v>17:21</v>
      </c>
      <c r="X143" s="80" t="str">
        <f>IF(SUM(AN143:AO143)=0,"",AO143&amp;":"&amp;AN143)</f>
        <v>21:0</v>
      </c>
      <c r="Y143" s="44"/>
      <c r="Z143" s="45" t="str">
        <f>IF(SUM(AN144:AO144)=0,"",AN144&amp;":"&amp;AO144)</f>
        <v>14:21</v>
      </c>
      <c r="AA143" s="197" t="str">
        <f>IF(SUM(AV142:AY142,BB142:BC142)=0,"",BD142&amp;":"&amp;BE142)</f>
        <v>102:84</v>
      </c>
      <c r="AB143" s="200" t="str">
        <f>IF(SUM(AV142:AY142,BB142:BC142)=0,"",BF142&amp;":"&amp;BG142)</f>
        <v>2:4</v>
      </c>
      <c r="AC143" s="200" t="str">
        <f>IF(SUM(AV142:AY142,BB142:BC142)=0,"",BH142&amp;":"&amp;BI142)</f>
        <v>1:2</v>
      </c>
      <c r="AD143" s="201">
        <f>IF(SUM(BH140:BH143)&gt;0,BJ142,"")</f>
        <v>3</v>
      </c>
      <c r="AE143" s="22"/>
      <c r="AF143" s="22"/>
      <c r="AG143" s="41" t="s">
        <v>18</v>
      </c>
      <c r="AH143" s="46">
        <f>IF(ISBLANK(S143),"",VLOOKUP(S143,'[1]plan gier'!$X:$AN,12,FALSE))</f>
        <v>0</v>
      </c>
      <c r="AI143" s="47">
        <f>IF(ISBLANK(S143),"",VLOOKUP(S143,'[1]plan gier'!$X:$AN,13,FALSE))</f>
        <v>21</v>
      </c>
      <c r="AJ143" s="47">
        <f>IF(ISBLANK(S143),"",VLOOKUP(S143,'[1]plan gier'!$X:$AN,14,FALSE))</f>
        <v>0</v>
      </c>
      <c r="AK143" s="47">
        <f>IF(ISBLANK(S143),"",VLOOKUP(S143,'[1]plan gier'!$X:$AN,15,FALSE))</f>
        <v>21</v>
      </c>
      <c r="AL143" s="47">
        <f>IF(ISBLANK(S143),"",VLOOKUP(S143,'[1]plan gier'!$X:$AN,16,FALSE))</f>
        <v>0</v>
      </c>
      <c r="AM143" s="47">
        <f>IF(ISBLANK(S143),"",VLOOKUP(S143,'[1]plan gier'!$X:$AN,17,FALSE))</f>
        <v>0</v>
      </c>
      <c r="AN143" s="60">
        <f t="shared" si="11"/>
        <v>0</v>
      </c>
      <c r="AO143" s="61">
        <f t="shared" si="11"/>
        <v>21</v>
      </c>
      <c r="AP143" s="61">
        <f t="shared" si="11"/>
        <v>0</v>
      </c>
      <c r="AQ143" s="61">
        <f t="shared" si="11"/>
        <v>21</v>
      </c>
      <c r="AR143" s="61">
        <f t="shared" si="11"/>
        <v>0</v>
      </c>
      <c r="AS143" s="66">
        <f t="shared" si="11"/>
        <v>0</v>
      </c>
      <c r="AT143" s="99">
        <f t="shared" si="12"/>
        <v>42</v>
      </c>
      <c r="AU143" s="87">
        <v>4</v>
      </c>
      <c r="AV143" s="112">
        <f>IF(AH142&lt;AI142,1,0)+IF(AJ142&lt;AK142,1,0)+IF(AL142&lt;AM142,1,0)</f>
        <v>0</v>
      </c>
      <c r="AW143" s="113">
        <f>BB140</f>
        <v>2</v>
      </c>
      <c r="AX143" s="113">
        <f>IF(AH141&lt;AI141,1,0)+IF(AJ141&lt;AK141,1,0)+IF(AL141&lt;AM141,1,0)</f>
        <v>2</v>
      </c>
      <c r="AY143" s="113">
        <f>BB141</f>
        <v>0</v>
      </c>
      <c r="AZ143" s="72">
        <f>IF(AH144&lt;AI144,1,0)+IF(AJ144&lt;AK144,1,0)+IF(AL144&lt;AM144,1,0)</f>
        <v>2</v>
      </c>
      <c r="BA143" s="72">
        <f>BB142</f>
        <v>0</v>
      </c>
      <c r="BB143" s="114"/>
      <c r="BC143" s="115"/>
      <c r="BD143" s="71">
        <f>AO141+AQ141+AS141+AO142+AQ142+AS142+AO144+AQ144+AS144</f>
        <v>113</v>
      </c>
      <c r="BE143" s="78">
        <f>AN141+AP141+AR141+AN142+AP142+AR142+AN144+AP144+AR144</f>
        <v>74</v>
      </c>
      <c r="BF143" s="71">
        <f>AV143+AX143+AZ143</f>
        <v>4</v>
      </c>
      <c r="BG143" s="77">
        <f>AW143+AY143+BA143</f>
        <v>2</v>
      </c>
      <c r="BH143" s="71">
        <f>IF(AV143&gt;AW143,1,0)+IF(AX143&gt;AY143,1,0)+IF(AZ143&gt;BA143,1,0)</f>
        <v>2</v>
      </c>
      <c r="BI143" s="77">
        <f>IF(AW143&gt;AV143,1,0)+IF(AY143&gt;AX143,1,0)+IF(BA143&gt;AZ143,1,0)</f>
        <v>1</v>
      </c>
      <c r="BJ143" s="79">
        <f>IF(BH143+BI143=0,"",IF(BK143=MAX(BK140:BK143),1,IF(BK143=LARGE(BK140:BK143,2),2,IF(BK143=MIN(BK140:BK143),4,3))))</f>
        <v>2</v>
      </c>
      <c r="BK143" s="104">
        <f>IF(BH143+BI143&lt;&gt;0,BH143-BI143+(BF143-BG143)/100+(BD143-BE143)/10000,-3)</f>
        <v>1.0239</v>
      </c>
    </row>
    <row r="144" spans="1:63" ht="11.25" customHeight="1">
      <c r="A144" s="12">
        <f t="shared" si="10"/>
        <v>38</v>
      </c>
      <c r="B144" s="12" t="str">
        <f>IF(N144="","",N144)</f>
        <v>K0011</v>
      </c>
      <c r="C144" s="12">
        <f>IF(N145="","",N145)</f>
      </c>
      <c r="D144" s="12" t="str">
        <f>IF(N147="","",N147)</f>
        <v>K0001</v>
      </c>
      <c r="E144" s="12">
        <f>IF(N148="","",N148)</f>
      </c>
      <c r="H144" s="29"/>
      <c r="I144" s="2" t="str">
        <f>"4"&amp;O136&amp;N137</f>
        <v>41Open</v>
      </c>
      <c r="J144" s="29" t="str">
        <f>IF(AD146="","",IF(AD137=4,N138,IF(AD140=4,N141,IF(AD143=4,N144,IF(AD146=4,N147,"")))))</f>
        <v>R0008</v>
      </c>
      <c r="K144" s="29">
        <f>IF(AD146="","",IF(AD137=4,N139,IF(AD140=4,N142,IF(AD143=4,N145,IF(AD146=4,N148,"")))))</f>
        <v>0</v>
      </c>
      <c r="L144" s="29"/>
      <c r="M144" s="39" t="str">
        <f>N137</f>
        <v>Open</v>
      </c>
      <c r="N144" s="30" t="s">
        <v>62</v>
      </c>
      <c r="O144" s="31">
        <f>IF(O136&gt;0,(O136&amp;3)*1,"")</f>
        <v>13</v>
      </c>
      <c r="Q144" s="40">
        <f>IF(AT144&gt;0,"",IF(A144=0,"",IF(VLOOKUP(A144,'[1]plan gier'!A:S,19,FALSE)="","",VLOOKUP(A144,'[1]plan gier'!A:S,19,FALSE))))</f>
      </c>
      <c r="R144" s="41" t="s">
        <v>29</v>
      </c>
      <c r="S144" s="96">
        <v>38</v>
      </c>
      <c r="T144" s="178"/>
      <c r="U144" s="189" t="str">
        <f>IF(AND(N144&lt;&gt;"",N145=""),CONCATENATE(VLOOKUP(N144,'[1]zawodnicy'!$A:$E,1,FALSE)," ",VLOOKUP(N144,'[1]zawodnicy'!$A:$E,2,FALSE)," ",VLOOKUP(N144,'[1]zawodnicy'!$A:$E,3,FALSE)," - ",VLOOKUP(N144,'[1]zawodnicy'!$A:$E,4,FALSE)),"")</f>
        <v>K0011 Bartłomiej KOŚMIDER - Szczucin</v>
      </c>
      <c r="V144" s="210"/>
      <c r="W144" s="58" t="str">
        <f>IF(SUM(AP140:AQ140)=0,"",AQ140&amp;":"&amp;AP140)</f>
        <v>11:21</v>
      </c>
      <c r="X144" s="33" t="str">
        <f>IF(SUM(AP143:AQ143)=0,"",AQ143&amp;":"&amp;AP143)</f>
        <v>21:0</v>
      </c>
      <c r="Y144" s="59"/>
      <c r="Z144" s="34" t="str">
        <f>IF(SUM(AP144:AQ144)=0,"",AP144&amp;":"&amp;AQ144)</f>
        <v>18:21</v>
      </c>
      <c r="AA144" s="178"/>
      <c r="AB144" s="183"/>
      <c r="AC144" s="183"/>
      <c r="AD144" s="186"/>
      <c r="AE144" s="22"/>
      <c r="AF144" s="22"/>
      <c r="AG144" s="41" t="s">
        <v>29</v>
      </c>
      <c r="AH144" s="46">
        <f>IF(ISBLANK(S144),"",VLOOKUP(S144,'[1]plan gier'!$X:$AN,12,FALSE))</f>
        <v>14</v>
      </c>
      <c r="AI144" s="47">
        <f>IF(ISBLANK(S144),"",VLOOKUP(S144,'[1]plan gier'!$X:$AN,13,FALSE))</f>
        <v>21</v>
      </c>
      <c r="AJ144" s="47">
        <f>IF(ISBLANK(S144),"",VLOOKUP(S144,'[1]plan gier'!$X:$AN,14,FALSE))</f>
        <v>18</v>
      </c>
      <c r="AK144" s="47">
        <f>IF(ISBLANK(S144),"",VLOOKUP(S144,'[1]plan gier'!$X:$AN,15,FALSE))</f>
        <v>21</v>
      </c>
      <c r="AL144" s="47">
        <f>IF(ISBLANK(S144),"",VLOOKUP(S144,'[1]plan gier'!$X:$AN,16,FALSE))</f>
        <v>0</v>
      </c>
      <c r="AM144" s="47">
        <f>IF(ISBLANK(S144),"",VLOOKUP(S144,'[1]plan gier'!$X:$AN,17,FALSE))</f>
        <v>0</v>
      </c>
      <c r="AN144" s="60">
        <f t="shared" si="11"/>
        <v>14</v>
      </c>
      <c r="AO144" s="61">
        <f t="shared" si="11"/>
        <v>21</v>
      </c>
      <c r="AP144" s="61">
        <f t="shared" si="11"/>
        <v>18</v>
      </c>
      <c r="AQ144" s="61">
        <f t="shared" si="11"/>
        <v>21</v>
      </c>
      <c r="AR144" s="61">
        <f t="shared" si="11"/>
        <v>0</v>
      </c>
      <c r="AS144" s="66">
        <f t="shared" si="11"/>
        <v>0</v>
      </c>
      <c r="AT144" s="99">
        <f t="shared" si="12"/>
        <v>74</v>
      </c>
      <c r="BD144" s="12">
        <f aca="true" t="shared" si="13" ref="BD144:BI144">SUM(BD140:BD143)</f>
        <v>341</v>
      </c>
      <c r="BE144" s="12">
        <f t="shared" si="13"/>
        <v>341</v>
      </c>
      <c r="BF144" s="12">
        <f t="shared" si="13"/>
        <v>12</v>
      </c>
      <c r="BG144" s="12">
        <f t="shared" si="13"/>
        <v>12</v>
      </c>
      <c r="BH144" s="12">
        <f t="shared" si="13"/>
        <v>6</v>
      </c>
      <c r="BI144" s="12">
        <f t="shared" si="13"/>
        <v>6</v>
      </c>
      <c r="BK144" s="13">
        <f>SUM(BK140:BK143)</f>
        <v>0</v>
      </c>
    </row>
    <row r="145" spans="1:46" ht="11.25" customHeight="1" thickBot="1">
      <c r="A145" s="12">
        <f t="shared" si="10"/>
        <v>39</v>
      </c>
      <c r="B145" s="12" t="str">
        <f>IF(N138="","",N138)</f>
        <v>K0033</v>
      </c>
      <c r="C145" s="12">
        <f>IF(N139="","",N139)</f>
      </c>
      <c r="D145" s="12" t="str">
        <f>IF(N141="","",N141)</f>
        <v>R0008</v>
      </c>
      <c r="E145" s="12">
        <f>IF(N142="","",N142)</f>
      </c>
      <c r="J145" s="23"/>
      <c r="K145" s="23"/>
      <c r="L145" s="23"/>
      <c r="M145" s="39" t="str">
        <f>N137</f>
        <v>Open</v>
      </c>
      <c r="N145" s="35"/>
      <c r="O145" s="23"/>
      <c r="P145" s="23"/>
      <c r="Q145" s="40">
        <f>IF(AT145&gt;0,"",IF(A145=0,"",IF(VLOOKUP(A145,'[1]plan gier'!A:S,19,FALSE)="","",VLOOKUP(A145,'[1]plan gier'!A:S,19,FALSE))))</f>
      </c>
      <c r="R145" s="41" t="s">
        <v>19</v>
      </c>
      <c r="S145" s="96">
        <v>39</v>
      </c>
      <c r="T145" s="179"/>
      <c r="U145" s="191">
        <f>IF(N145&lt;&gt;"",CONCATENATE(VLOOKUP(N145,'[1]zawodnicy'!$A:$E,1,FALSE)," ",VLOOKUP(N145,'[1]zawodnicy'!$A:$E,2,FALSE)," ",VLOOKUP(N145,'[1]zawodnicy'!$A:$E,3,FALSE)," - ",VLOOKUP(N145,'[1]zawodnicy'!$A:$E,4,FALSE)),"")</f>
      </c>
      <c r="V145" s="211"/>
      <c r="W145" s="70">
        <f>IF(SUM(AR140:AS140)=0,"",AS140&amp;":"&amp;AR140)</f>
      </c>
      <c r="X145" s="36">
        <f>IF(SUM(AR143:AS143)=0,"",AS143&amp;":"&amp;AR143)</f>
      </c>
      <c r="Y145" s="59"/>
      <c r="Z145" s="37">
        <f>IF(SUM(AR144:AS144)=0,"",AR144&amp;":"&amp;AS144)</f>
      </c>
      <c r="AA145" s="178"/>
      <c r="AB145" s="183"/>
      <c r="AC145" s="183"/>
      <c r="AD145" s="186"/>
      <c r="AE145" s="22"/>
      <c r="AF145" s="22"/>
      <c r="AG145" s="41" t="s">
        <v>19</v>
      </c>
      <c r="AH145" s="112">
        <f>IF(ISBLANK(S145),"",VLOOKUP(S145,'[1]plan gier'!$X:$AN,12,FALSE))</f>
        <v>21</v>
      </c>
      <c r="AI145" s="113">
        <f>IF(ISBLANK(S145),"",VLOOKUP(S145,'[1]plan gier'!$X:$AN,13,FALSE))</f>
        <v>0</v>
      </c>
      <c r="AJ145" s="113">
        <f>IF(ISBLANK(S145),"",VLOOKUP(S145,'[1]plan gier'!$X:$AN,14,FALSE))</f>
        <v>21</v>
      </c>
      <c r="AK145" s="113">
        <f>IF(ISBLANK(S145),"",VLOOKUP(S145,'[1]plan gier'!$X:$AN,15,FALSE))</f>
        <v>0</v>
      </c>
      <c r="AL145" s="113">
        <f>IF(ISBLANK(S145),"",VLOOKUP(S145,'[1]plan gier'!$X:$AN,16,FALSE))</f>
        <v>0</v>
      </c>
      <c r="AM145" s="113">
        <f>IF(ISBLANK(S145),"",VLOOKUP(S145,'[1]plan gier'!$X:$AN,17,FALSE))</f>
        <v>0</v>
      </c>
      <c r="AN145" s="71">
        <f t="shared" si="11"/>
        <v>21</v>
      </c>
      <c r="AO145" s="72">
        <f t="shared" si="11"/>
        <v>0</v>
      </c>
      <c r="AP145" s="72">
        <f t="shared" si="11"/>
        <v>21</v>
      </c>
      <c r="AQ145" s="72">
        <f t="shared" si="11"/>
        <v>0</v>
      </c>
      <c r="AR145" s="72">
        <f t="shared" si="11"/>
        <v>0</v>
      </c>
      <c r="AS145" s="77">
        <f t="shared" si="11"/>
        <v>0</v>
      </c>
      <c r="AT145" s="99">
        <f t="shared" si="12"/>
        <v>42</v>
      </c>
    </row>
    <row r="146" spans="1:46" ht="11.25" customHeight="1">
      <c r="A146" s="2"/>
      <c r="J146" s="23"/>
      <c r="K146" s="23"/>
      <c r="L146" s="23"/>
      <c r="O146" s="23"/>
      <c r="P146" s="23"/>
      <c r="Q146" s="2"/>
      <c r="R146" s="2"/>
      <c r="S146" s="2"/>
      <c r="T146" s="197">
        <v>4</v>
      </c>
      <c r="U146" s="198">
        <f>IF(AND(N147&lt;&gt;"",N148&lt;&gt;""),CONCATENATE(VLOOKUP(N147,'[1]zawodnicy'!$A:$E,1,FALSE)," ",VLOOKUP(N147,'[1]zawodnicy'!$A:$E,2,FALSE)," ",VLOOKUP(N147,'[1]zawodnicy'!$A:$E,3,FALSE)," - ",VLOOKUP(N147,'[1]zawodnicy'!$A:$E,4,FALSE)),"")</f>
      </c>
      <c r="V146" s="215"/>
      <c r="W146" s="43" t="str">
        <f>IF(SUM(AN142:AO142)=0,"",AO142&amp;":"&amp;AN142)</f>
        <v>13:21</v>
      </c>
      <c r="X146" s="80" t="str">
        <f>IF(SUM(AN141:AO141)=0,"",AO141&amp;":"&amp;AN141)</f>
        <v>21:0</v>
      </c>
      <c r="Y146" s="80" t="str">
        <f>IF(SUM(AN144:AO144)=0,"",AO144&amp;":"&amp;AN144)</f>
        <v>21:14</v>
      </c>
      <c r="Z146" s="116"/>
      <c r="AA146" s="197" t="str">
        <f>IF(SUM(AV143:BA143)=0,"",BD143&amp;":"&amp;BE143)</f>
        <v>113:74</v>
      </c>
      <c r="AB146" s="200" t="str">
        <f>IF(SUM(AV143:BA143)=0,"",BF143&amp;":"&amp;BG143)</f>
        <v>4:2</v>
      </c>
      <c r="AC146" s="200" t="str">
        <f>IF(SUM(AV143:BA143)=0,"",BH143&amp;":"&amp;BI143)</f>
        <v>2:1</v>
      </c>
      <c r="AD146" s="201">
        <f>IF(SUM(BH140:BH143)&gt;0,BJ143,"")</f>
        <v>2</v>
      </c>
      <c r="AE146" s="22"/>
      <c r="AF146" s="2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</row>
    <row r="147" spans="1:63" ht="11.25" customHeight="1">
      <c r="A147" s="12"/>
      <c r="B147" s="12"/>
      <c r="C147" s="12"/>
      <c r="D147" s="12"/>
      <c r="E147" s="12"/>
      <c r="H147" s="29"/>
      <c r="J147" s="12"/>
      <c r="K147" s="12"/>
      <c r="L147" s="12"/>
      <c r="N147" s="30" t="s">
        <v>63</v>
      </c>
      <c r="O147" s="31">
        <f>IF(O136&gt;0,(O136&amp;4)*1,"")</f>
        <v>14</v>
      </c>
      <c r="Q147" s="82"/>
      <c r="R147" s="82"/>
      <c r="S147" s="42"/>
      <c r="T147" s="178"/>
      <c r="U147" s="189" t="str">
        <f>IF(AND(N147&lt;&gt;"",N148=""),CONCATENATE(VLOOKUP(N147,'[1]zawodnicy'!$A:$E,1,FALSE)," ",VLOOKUP(N147,'[1]zawodnicy'!$A:$E,2,FALSE)," ",VLOOKUP(N147,'[1]zawodnicy'!$A:$E,3,FALSE)," - ",VLOOKUP(N147,'[1]zawodnicy'!$A:$E,4,FALSE)),"")</f>
        <v>K0001 Marcin KALTENBERG - Tarnobrzeg</v>
      </c>
      <c r="V147" s="210"/>
      <c r="W147" s="58" t="str">
        <f>IF(SUM(AP142:AQ142)=0,"",AQ142&amp;":"&amp;AP142)</f>
        <v>16:21</v>
      </c>
      <c r="X147" s="33" t="str">
        <f>IF(SUM(AP141:AQ141)=0,"",AQ141&amp;":"&amp;AP141)</f>
        <v>21:0</v>
      </c>
      <c r="Y147" s="33" t="str">
        <f>IF(SUM(AP144:AQ144)=0,"",AQ144&amp;":"&amp;AP144)</f>
        <v>21:18</v>
      </c>
      <c r="Z147" s="117"/>
      <c r="AA147" s="178"/>
      <c r="AB147" s="183"/>
      <c r="AC147" s="183"/>
      <c r="AD147" s="186"/>
      <c r="AE147" s="22"/>
      <c r="AF147" s="2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1:63" ht="11.25" customHeight="1" thickBot="1">
      <c r="A148" s="2"/>
      <c r="J148" s="23"/>
      <c r="K148" s="23"/>
      <c r="L148" s="23"/>
      <c r="N148" s="35"/>
      <c r="O148" s="23"/>
      <c r="P148" s="23"/>
      <c r="Q148" s="2"/>
      <c r="R148" s="2"/>
      <c r="S148" s="2"/>
      <c r="T148" s="202"/>
      <c r="U148" s="205">
        <f>IF(N148&lt;&gt;"",CONCATENATE(VLOOKUP(N148,'[1]zawodnicy'!$A:$E,1,FALSE)," ",VLOOKUP(N148,'[1]zawodnicy'!$A:$E,2,FALSE)," ",VLOOKUP(N148,'[1]zawodnicy'!$A:$E,3,FALSE)," - ",VLOOKUP(N148,'[1]zawodnicy'!$A:$E,4,FALSE)),"")</f>
      </c>
      <c r="V148" s="218"/>
      <c r="W148" s="84">
        <f>IF(SUM(AR142:AS142)=0,"",AS142&amp;":"&amp;AR142)</f>
      </c>
      <c r="X148" s="85">
        <f>IF(SUM(AR141:AS141)=0,"",AS141&amp;":"&amp;AR141)</f>
      </c>
      <c r="Y148" s="85">
        <f>IF(SUM(AR144:AS144)=0,"",AS144&amp;":"&amp;AR144)</f>
      </c>
      <c r="Z148" s="86"/>
      <c r="AA148" s="202"/>
      <c r="AB148" s="203"/>
      <c r="AC148" s="203"/>
      <c r="AD148" s="204"/>
      <c r="AE148" s="22"/>
      <c r="AF148" s="2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ht="11.25" customHeight="1" thickBot="1"/>
    <row r="150" spans="14:32" ht="11.25" customHeight="1" thickBot="1">
      <c r="N150" s="8"/>
      <c r="O150" s="14">
        <v>2</v>
      </c>
      <c r="Q150" s="171" t="str">
        <f>"Grupa "&amp;O150&amp;"."</f>
        <v>Grupa 2.</v>
      </c>
      <c r="R150" s="171"/>
      <c r="S150" s="172"/>
      <c r="T150" s="15" t="s">
        <v>2</v>
      </c>
      <c r="U150" s="173" t="s">
        <v>3</v>
      </c>
      <c r="V150" s="174"/>
      <c r="W150" s="15">
        <v>1</v>
      </c>
      <c r="X150" s="17">
        <v>2</v>
      </c>
      <c r="Y150" s="18">
        <v>3</v>
      </c>
      <c r="Z150" s="19" t="s">
        <v>4</v>
      </c>
      <c r="AA150" s="20" t="s">
        <v>5</v>
      </c>
      <c r="AB150" s="20" t="s">
        <v>6</v>
      </c>
      <c r="AC150" s="21" t="s">
        <v>7</v>
      </c>
      <c r="AD150" s="2"/>
      <c r="AE150" s="22"/>
      <c r="AF150" s="22"/>
    </row>
    <row r="151" spans="10:45" ht="11.25" customHeight="1">
      <c r="J151" s="23"/>
      <c r="K151" s="23"/>
      <c r="L151" s="23"/>
      <c r="N151" s="24" t="s">
        <v>59</v>
      </c>
      <c r="Q151" s="175" t="s">
        <v>8</v>
      </c>
      <c r="R151" s="175"/>
      <c r="S151" s="176" t="s">
        <v>9</v>
      </c>
      <c r="T151" s="177">
        <v>1</v>
      </c>
      <c r="U151" s="180">
        <f>IF(AND(N152&lt;&gt;"",N153&lt;&gt;""),CONCATENATE(VLOOKUP(N152,'[1]zawodnicy'!$A:$E,1,FALSE)," ",VLOOKUP(N152,'[1]zawodnicy'!$A:$E,2,FALSE)," ",VLOOKUP(N152,'[1]zawodnicy'!$A:$E,3,FALSE)," - ",VLOOKUP(N152,'[1]zawodnicy'!$A:$E,4,FALSE)),"")</f>
      </c>
      <c r="V151" s="181"/>
      <c r="W151" s="25"/>
      <c r="X151" s="26" t="str">
        <f>IF(SUM(AN156:AO156)=0,"",AN156&amp;":"&amp;AO156)</f>
        <v>10:21</v>
      </c>
      <c r="Y151" s="27" t="str">
        <f>IF(SUM(AN154:AO154)=0,"",AN154&amp;":"&amp;AO154)</f>
        <v>21:8</v>
      </c>
      <c r="Z151" s="177" t="str">
        <f>IF(SUM(AX154:BA154)=0,"",BD154&amp;":"&amp;BE154)</f>
        <v>89:76</v>
      </c>
      <c r="AA151" s="182" t="str">
        <f>IF(SUM(AX154:BA154)=0,"",BF154&amp;":"&amp;BG154)</f>
        <v>3:2</v>
      </c>
      <c r="AB151" s="182" t="str">
        <f>IF(SUM(AX154:BA154)=0,"",BH154&amp;":"&amp;BI154)</f>
        <v>1:1</v>
      </c>
      <c r="AC151" s="185">
        <f>IF(SUM(BH154:BH156)&gt;0,BJ154,"")</f>
        <v>2</v>
      </c>
      <c r="AD151" s="2"/>
      <c r="AE151" s="22"/>
      <c r="AF151" s="22"/>
      <c r="AG151" s="28"/>
      <c r="AH151" s="188" t="s">
        <v>10</v>
      </c>
      <c r="AI151" s="188"/>
      <c r="AJ151" s="188"/>
      <c r="AK151" s="188"/>
      <c r="AL151" s="188"/>
      <c r="AM151" s="188"/>
      <c r="AN151" s="188" t="s">
        <v>11</v>
      </c>
      <c r="AO151" s="188"/>
      <c r="AP151" s="188"/>
      <c r="AQ151" s="188"/>
      <c r="AR151" s="188"/>
      <c r="AS151" s="188"/>
    </row>
    <row r="152" spans="9:59" ht="11.25" customHeight="1" thickBot="1">
      <c r="I152" s="2" t="str">
        <f>"1"&amp;O150&amp;N151</f>
        <v>12Open</v>
      </c>
      <c r="J152" s="29" t="str">
        <f>IF(AC151="","",IF(AC151=1,N152,IF(AC154=1,N155,IF(AC157=1,N158,""))))</f>
        <v>S0030</v>
      </c>
      <c r="K152" s="29">
        <f>IF(AC151="","",IF(AC151=1,N153,IF(AC154=1,N156,IF(AC157=1,N159,""))))</f>
        <v>0</v>
      </c>
      <c r="L152" s="29"/>
      <c r="N152" s="30" t="s">
        <v>64</v>
      </c>
      <c r="O152" s="31">
        <f>IF(O150&gt;0,(O150&amp;1)*1,"")</f>
        <v>21</v>
      </c>
      <c r="Q152" s="175"/>
      <c r="R152" s="175"/>
      <c r="S152" s="176"/>
      <c r="T152" s="178"/>
      <c r="U152" s="189" t="str">
        <f>IF(AND(N152&lt;&gt;"",N153=""),CONCATENATE(VLOOKUP(N152,'[1]zawodnicy'!$A:$E,1,FALSE)," ",VLOOKUP(N152,'[1]zawodnicy'!$A:$E,2,FALSE)," ",VLOOKUP(N152,'[1]zawodnicy'!$A:$E,3,FALSE)," - ",VLOOKUP(N152,'[1]zawodnicy'!$A:$E,4,FALSE)),"")</f>
        <v>I0002 Igor IWAŃSKI - Mielec</v>
      </c>
      <c r="V152" s="190"/>
      <c r="W152" s="32"/>
      <c r="X152" s="33" t="str">
        <f>IF(SUM(AP156:AQ156)=0,"",AP156&amp;":"&amp;AQ156)</f>
        <v>21:16</v>
      </c>
      <c r="Y152" s="34" t="str">
        <f>IF(SUM(AP154:AQ154)=0,"",AP154&amp;":"&amp;AQ154)</f>
        <v>21:10</v>
      </c>
      <c r="Z152" s="178"/>
      <c r="AA152" s="183"/>
      <c r="AB152" s="183"/>
      <c r="AC152" s="186"/>
      <c r="AD152" s="2"/>
      <c r="AE152" s="22"/>
      <c r="AF152" s="22"/>
      <c r="AG152" s="28"/>
      <c r="BD152" s="12">
        <f>SUM(BD154:BD156)</f>
        <v>229</v>
      </c>
      <c r="BE152" s="12">
        <f>SUM(BE154:BE156)</f>
        <v>229</v>
      </c>
      <c r="BF152" s="12">
        <f>SUM(BF154:BF156)</f>
        <v>7</v>
      </c>
      <c r="BG152" s="12">
        <f>SUM(BG154:BG156)</f>
        <v>7</v>
      </c>
    </row>
    <row r="153" spans="10:63" ht="11.25" customHeight="1" thickBot="1">
      <c r="J153" s="29"/>
      <c r="K153" s="23"/>
      <c r="L153" s="23"/>
      <c r="N153" s="35"/>
      <c r="O153" s="23"/>
      <c r="P153" s="23"/>
      <c r="Q153" s="175"/>
      <c r="R153" s="175"/>
      <c r="S153" s="176"/>
      <c r="T153" s="179"/>
      <c r="U153" s="191">
        <f>IF(N153&lt;&gt;"",CONCATENATE(VLOOKUP(N153,'[1]zawodnicy'!$A:$E,1,FALSE)," ",VLOOKUP(N153,'[1]zawodnicy'!$A:$E,2,FALSE)," ",VLOOKUP(N153,'[1]zawodnicy'!$A:$E,3,FALSE)," - ",VLOOKUP(N153,'[1]zawodnicy'!$A:$E,4,FALSE)),"")</f>
      </c>
      <c r="V153" s="192"/>
      <c r="W153" s="32"/>
      <c r="X153" s="36" t="str">
        <f>IF(SUM(AR156:AS156)=0,"",AR156&amp;":"&amp;AS156)</f>
        <v>16:21</v>
      </c>
      <c r="Y153" s="37">
        <f>IF(SUM(AR154:AS154)=0,"",AR154&amp;":"&amp;AS154)</f>
      </c>
      <c r="Z153" s="179"/>
      <c r="AA153" s="184"/>
      <c r="AB153" s="184"/>
      <c r="AC153" s="187"/>
      <c r="AD153" s="2"/>
      <c r="AE153" s="22"/>
      <c r="AF153" s="22"/>
      <c r="AG153" s="28"/>
      <c r="AH153" s="193" t="s">
        <v>13</v>
      </c>
      <c r="AI153" s="194"/>
      <c r="AJ153" s="195" t="s">
        <v>14</v>
      </c>
      <c r="AK153" s="194"/>
      <c r="AL153" s="195" t="s">
        <v>15</v>
      </c>
      <c r="AM153" s="196"/>
      <c r="AN153" s="193" t="s">
        <v>13</v>
      </c>
      <c r="AO153" s="194"/>
      <c r="AP153" s="195" t="s">
        <v>14</v>
      </c>
      <c r="AQ153" s="194"/>
      <c r="AR153" s="195" t="s">
        <v>15</v>
      </c>
      <c r="AS153" s="194"/>
      <c r="AT153" s="22"/>
      <c r="AU153" s="22"/>
      <c r="AV153" s="193">
        <v>1</v>
      </c>
      <c r="AW153" s="194"/>
      <c r="AX153" s="195">
        <v>2</v>
      </c>
      <c r="AY153" s="194"/>
      <c r="AZ153" s="195">
        <v>3</v>
      </c>
      <c r="BA153" s="196"/>
      <c r="BD153" s="193" t="s">
        <v>4</v>
      </c>
      <c r="BE153" s="196"/>
      <c r="BF153" s="193" t="s">
        <v>5</v>
      </c>
      <c r="BG153" s="196"/>
      <c r="BH153" s="193" t="s">
        <v>6</v>
      </c>
      <c r="BI153" s="196"/>
      <c r="BJ153" s="38" t="s">
        <v>7</v>
      </c>
      <c r="BK153" s="13">
        <f>SUM(BK154:BK156)</f>
        <v>0</v>
      </c>
    </row>
    <row r="154" spans="1:63" ht="11.25" customHeight="1">
      <c r="A154" s="12">
        <f>S154</f>
        <v>34</v>
      </c>
      <c r="B154" s="2" t="str">
        <f>IF(N152="","",N152)</f>
        <v>I0002</v>
      </c>
      <c r="C154" s="2">
        <f>IF(N153="","",N153)</f>
      </c>
      <c r="D154" s="2" t="str">
        <f>IF(N158="","",N158)</f>
        <v>J0001</v>
      </c>
      <c r="E154" s="2">
        <f>IF(N159="","",N159)</f>
      </c>
      <c r="I154" s="2" t="str">
        <f>"2"&amp;O150&amp;N151</f>
        <v>22Open</v>
      </c>
      <c r="J154" s="29" t="str">
        <f>IF(AC154="","",IF(AC151=2,N152,IF(AC154=2,N155,IF(AC157=2,N158,""))))</f>
        <v>I0002</v>
      </c>
      <c r="K154" s="29">
        <f>IF(AC154="","",IF(AC151=2,N153,IF(AC154=2,N156,IF(AC157=2,N159,""))))</f>
        <v>0</v>
      </c>
      <c r="M154" s="39" t="str">
        <f>N151</f>
        <v>Open</v>
      </c>
      <c r="O154" s="23"/>
      <c r="P154" s="23"/>
      <c r="Q154" s="40">
        <f>IF(AT154&gt;0,"",IF(A154=0,"",IF(VLOOKUP(A154,'[1]plan gier'!A:S,19,FALSE)="","",VLOOKUP(A154,'[1]plan gier'!A:S,19,FALSE))))</f>
      </c>
      <c r="R154" s="41" t="s">
        <v>16</v>
      </c>
      <c r="S154" s="42">
        <v>34</v>
      </c>
      <c r="T154" s="197">
        <v>2</v>
      </c>
      <c r="U154" s="198">
        <f>IF(AND(N155&lt;&gt;"",N156&lt;&gt;""),CONCATENATE(VLOOKUP(N155,'[1]zawodnicy'!$A:$E,1,FALSE)," ",VLOOKUP(N155,'[1]zawodnicy'!$A:$E,2,FALSE)," ",VLOOKUP(N155,'[1]zawodnicy'!$A:$E,3,FALSE)," - ",VLOOKUP(N155,'[1]zawodnicy'!$A:$E,4,FALSE)),"")</f>
      </c>
      <c r="V154" s="199"/>
      <c r="W154" s="43" t="str">
        <f>IF(SUM(AN156:AO156)=0,"",AO156&amp;":"&amp;AN156)</f>
        <v>21:10</v>
      </c>
      <c r="X154" s="44"/>
      <c r="Y154" s="45" t="str">
        <f>IF(SUM(AN155:AO155)=0,"",AN155&amp;":"&amp;AO155)</f>
        <v>21:12</v>
      </c>
      <c r="Z154" s="197" t="str">
        <f>IF(SUM(AV155:AW155,AZ155:BA155)=0,"",BD155&amp;":"&amp;BE155)</f>
        <v>100:69</v>
      </c>
      <c r="AA154" s="200" t="str">
        <f>IF(SUM(AV155:AW155,AZ155:BA155)=0,"",BF155&amp;":"&amp;BG155)</f>
        <v>4:1</v>
      </c>
      <c r="AB154" s="200" t="str">
        <f>IF(SUM(AV155:AW155,AZ155:BA155)=0,"",BH155&amp;":"&amp;BI155)</f>
        <v>2:0</v>
      </c>
      <c r="AC154" s="201">
        <f>IF(SUM(BH154:BH156)&gt;0,BJ155,"")</f>
        <v>1</v>
      </c>
      <c r="AD154" s="2"/>
      <c r="AE154" s="22"/>
      <c r="AF154" s="22"/>
      <c r="AG154" s="41" t="s">
        <v>16</v>
      </c>
      <c r="AH154" s="46">
        <f>IF(ISBLANK(S154),"",VLOOKUP(S154,'[1]plan gier'!$X:$AN,12,FALSE))</f>
        <v>21</v>
      </c>
      <c r="AI154" s="47">
        <f>IF(ISBLANK(S154),"",VLOOKUP(S154,'[1]plan gier'!$X:$AN,13,FALSE))</f>
        <v>8</v>
      </c>
      <c r="AJ154" s="47">
        <f>IF(ISBLANK(S154),"",VLOOKUP(S154,'[1]plan gier'!$X:$AN,14,FALSE))</f>
        <v>21</v>
      </c>
      <c r="AK154" s="47">
        <f>IF(ISBLANK(S154),"",VLOOKUP(S154,'[1]plan gier'!$X:$AN,15,FALSE))</f>
        <v>10</v>
      </c>
      <c r="AL154" s="47">
        <f>IF(ISBLANK(S154),"",VLOOKUP(S154,'[1]plan gier'!$X:$AN,16,FALSE))</f>
        <v>0</v>
      </c>
      <c r="AM154" s="47">
        <f>IF(ISBLANK(S154),"",VLOOKUP(S154,'[1]plan gier'!$X:$AN,17,FALSE))</f>
        <v>0</v>
      </c>
      <c r="AN154" s="48">
        <f aca="true" t="shared" si="14" ref="AN154:AS156">IF(AH154="",0,AH154)</f>
        <v>21</v>
      </c>
      <c r="AO154" s="49">
        <f t="shared" si="14"/>
        <v>8</v>
      </c>
      <c r="AP154" s="50">
        <f t="shared" si="14"/>
        <v>21</v>
      </c>
      <c r="AQ154" s="49">
        <f t="shared" si="14"/>
        <v>10</v>
      </c>
      <c r="AR154" s="50">
        <f t="shared" si="14"/>
        <v>0</v>
      </c>
      <c r="AS154" s="49">
        <f t="shared" si="14"/>
        <v>0</v>
      </c>
      <c r="AT154" s="51">
        <f>SUM(AN154:AS154)</f>
        <v>60</v>
      </c>
      <c r="AU154" s="52">
        <v>1</v>
      </c>
      <c r="AV154" s="53"/>
      <c r="AW154" s="54"/>
      <c r="AX154" s="47">
        <f>IF(AH156&gt;AI156,1,0)+IF(AJ156&gt;AK156,1,0)+IF(AL156&gt;AM156,1,0)</f>
        <v>1</v>
      </c>
      <c r="AY154" s="47">
        <f>AV155</f>
        <v>2</v>
      </c>
      <c r="AZ154" s="47">
        <f>IF(AH154&gt;AI154,1,0)+IF(AJ154&gt;AK154,1,0)+IF(AL154&gt;AM154,1,0)</f>
        <v>2</v>
      </c>
      <c r="BA154" s="55">
        <f>AV156</f>
        <v>0</v>
      </c>
      <c r="BD154" s="46">
        <f>AN154+AP154+AR154+AN156+AP156+AR156</f>
        <v>89</v>
      </c>
      <c r="BE154" s="55">
        <f>AO154+AQ154+AS154+AO156+AQ156+AS156</f>
        <v>76</v>
      </c>
      <c r="BF154" s="46">
        <f>AX154+AZ154</f>
        <v>3</v>
      </c>
      <c r="BG154" s="55">
        <f>AY154+BA154</f>
        <v>2</v>
      </c>
      <c r="BH154" s="46">
        <f>IF(AX154&gt;AY154,1,0)+IF(AZ154&gt;BA154,1,0)</f>
        <v>1</v>
      </c>
      <c r="BI154" s="56">
        <f>IF(AY154&gt;AX154,1,0)+IF(BA154&gt;AZ154,1,0)</f>
        <v>1</v>
      </c>
      <c r="BJ154" s="57">
        <f>IF(BH154+BI154=0,"",IF(BK154=MAX(BK154:BK156),1,IF(BK154=MIN(BK154:BK156),3,2)))</f>
        <v>2</v>
      </c>
      <c r="BK154" s="13">
        <f>IF(BH154+BI154&lt;&gt;0,BH154-BI154+(BF154-BG154)/100+(BD154-BE154)/10000,-2)</f>
        <v>0.011300000000000001</v>
      </c>
    </row>
    <row r="155" spans="1:63" ht="11.25" customHeight="1">
      <c r="A155" s="12">
        <f>S155</f>
        <v>37</v>
      </c>
      <c r="B155" s="2" t="str">
        <f>IF(N155="","",N155)</f>
        <v>S0030</v>
      </c>
      <c r="C155" s="2">
        <f>IF(N156="","",N156)</f>
      </c>
      <c r="D155" s="2" t="str">
        <f>IF(N158="","",N158)</f>
        <v>J0001</v>
      </c>
      <c r="E155" s="2">
        <f>IF(N159="","",N159)</f>
      </c>
      <c r="J155" s="29"/>
      <c r="K155" s="12"/>
      <c r="M155" s="39" t="str">
        <f>N151</f>
        <v>Open</v>
      </c>
      <c r="N155" s="30" t="s">
        <v>65</v>
      </c>
      <c r="O155" s="31">
        <f>IF(O150&gt;0,(O150&amp;2)*1,"")</f>
        <v>22</v>
      </c>
      <c r="Q155" s="40">
        <f>IF(AT155&gt;0,"",IF(A155=0,"",IF(VLOOKUP(A155,'[1]plan gier'!A:S,19,FALSE)="","",VLOOKUP(A155,'[1]plan gier'!A:S,19,FALSE))))</f>
      </c>
      <c r="R155" s="41" t="s">
        <v>18</v>
      </c>
      <c r="S155" s="42">
        <v>37</v>
      </c>
      <c r="T155" s="178"/>
      <c r="U155" s="189" t="str">
        <f>IF(AND(N155&lt;&gt;"",N156=""),CONCATENATE(VLOOKUP(N155,'[1]zawodnicy'!$A:$E,1,FALSE)," ",VLOOKUP(N155,'[1]zawodnicy'!$A:$E,2,FALSE)," ",VLOOKUP(N155,'[1]zawodnicy'!$A:$E,3,FALSE)," - ",VLOOKUP(N155,'[1]zawodnicy'!$A:$E,4,FALSE)),"")</f>
        <v>S0030 Karol SZYMURA - Szczucin</v>
      </c>
      <c r="V155" s="190"/>
      <c r="W155" s="58" t="str">
        <f>IF(SUM(AP156:AQ156)=0,"",AQ156&amp;":"&amp;AP156)</f>
        <v>16:21</v>
      </c>
      <c r="X155" s="59"/>
      <c r="Y155" s="34" t="str">
        <f>IF(SUM(AP155:AQ155)=0,"",AP155&amp;":"&amp;AQ155)</f>
        <v>21:10</v>
      </c>
      <c r="Z155" s="178"/>
      <c r="AA155" s="183"/>
      <c r="AB155" s="183"/>
      <c r="AC155" s="186"/>
      <c r="AD155" s="2"/>
      <c r="AE155" s="22"/>
      <c r="AF155" s="22"/>
      <c r="AG155" s="41" t="s">
        <v>18</v>
      </c>
      <c r="AH155" s="60">
        <f>IF(ISBLANK(S155),"",VLOOKUP(S155,'[1]plan gier'!$X:$AN,12,FALSE))</f>
        <v>21</v>
      </c>
      <c r="AI155" s="61">
        <f>IF(ISBLANK(S155),"",VLOOKUP(S155,'[1]plan gier'!$X:$AN,13,FALSE))</f>
        <v>12</v>
      </c>
      <c r="AJ155" s="61">
        <f>IF(ISBLANK(S155),"",VLOOKUP(S155,'[1]plan gier'!$X:$AN,14,FALSE))</f>
        <v>21</v>
      </c>
      <c r="AK155" s="61">
        <f>IF(ISBLANK(S155),"",VLOOKUP(S155,'[1]plan gier'!$X:$AN,15,FALSE))</f>
        <v>10</v>
      </c>
      <c r="AL155" s="61">
        <f>IF(ISBLANK(S155),"",VLOOKUP(S155,'[1]plan gier'!$X:$AN,16,FALSE))</f>
        <v>0</v>
      </c>
      <c r="AM155" s="61">
        <f>IF(ISBLANK(S155),"",VLOOKUP(S155,'[1]plan gier'!$X:$AN,17,FALSE))</f>
        <v>0</v>
      </c>
      <c r="AN155" s="62">
        <f t="shared" si="14"/>
        <v>21</v>
      </c>
      <c r="AO155" s="61">
        <f t="shared" si="14"/>
        <v>12</v>
      </c>
      <c r="AP155" s="63">
        <f t="shared" si="14"/>
        <v>21</v>
      </c>
      <c r="AQ155" s="61">
        <f t="shared" si="14"/>
        <v>10</v>
      </c>
      <c r="AR155" s="63">
        <f t="shared" si="14"/>
        <v>0</v>
      </c>
      <c r="AS155" s="61">
        <f t="shared" si="14"/>
        <v>0</v>
      </c>
      <c r="AT155" s="51">
        <f>SUM(AN155:AS155)</f>
        <v>64</v>
      </c>
      <c r="AU155" s="52">
        <v>2</v>
      </c>
      <c r="AV155" s="60">
        <f>IF(AH156&lt;AI156,1,0)+IF(AJ156&lt;AK156,1,0)+IF(AL156&lt;AM156,1,0)</f>
        <v>2</v>
      </c>
      <c r="AW155" s="61">
        <f>AX154</f>
        <v>1</v>
      </c>
      <c r="AX155" s="64"/>
      <c r="AY155" s="65"/>
      <c r="AZ155" s="61">
        <f>IF(AH155&gt;AI155,1,0)+IF(AJ155&gt;AK155,1,0)+IF(AL155&gt;AM155,1,0)</f>
        <v>2</v>
      </c>
      <c r="BA155" s="66">
        <f>AX156</f>
        <v>0</v>
      </c>
      <c r="BD155" s="60">
        <f>AN155+AP155+AR155+AO156+AQ156+AS156</f>
        <v>100</v>
      </c>
      <c r="BE155" s="66">
        <f>AO155+AQ155+AS155+AN156+AP156+AR156</f>
        <v>69</v>
      </c>
      <c r="BF155" s="60">
        <f>AV155+AZ155</f>
        <v>4</v>
      </c>
      <c r="BG155" s="66">
        <f>AW155+BA155</f>
        <v>1</v>
      </c>
      <c r="BH155" s="60">
        <f>IF(AV155&gt;AW155,1,0)+IF(AZ155&gt;BA155,1,0)</f>
        <v>2</v>
      </c>
      <c r="BI155" s="67">
        <f>IF(AW155&gt;AV155,1,0)+IF(BA155&gt;AZ155,1,0)</f>
        <v>0</v>
      </c>
      <c r="BJ155" s="68">
        <f>IF(BH155+BI155=0,"",IF(BK155=MAX(BK154:BK156),1,IF(BK155=MIN(BK154:BK156),3,2)))</f>
        <v>1</v>
      </c>
      <c r="BK155" s="13">
        <f>IF(BH155+BI155&lt;&gt;0,BH155-BI155+(BF155-BG155)/100+(BD155-BE155)/10000,-2)</f>
        <v>2.0330999999999997</v>
      </c>
    </row>
    <row r="156" spans="1:63" ht="11.25" customHeight="1" thickBot="1">
      <c r="A156" s="12">
        <f>S156</f>
        <v>40</v>
      </c>
      <c r="B156" s="2" t="str">
        <f>IF(N152="","",N152)</f>
        <v>I0002</v>
      </c>
      <c r="C156" s="2">
        <f>IF(N153="","",N153)</f>
      </c>
      <c r="D156" s="2" t="str">
        <f>IF(N155="","",N155)</f>
        <v>S0030</v>
      </c>
      <c r="E156" s="2">
        <f>IF(N156="","",N156)</f>
      </c>
      <c r="I156" s="2" t="str">
        <f>"3"&amp;O150&amp;N151</f>
        <v>32Open</v>
      </c>
      <c r="J156" s="29" t="str">
        <f>IF(AC157="","",IF(AC151=3,N152,IF(AC154=3,N155,IF(AC157=3,N158,""))))</f>
        <v>J0001</v>
      </c>
      <c r="K156" s="29">
        <f>IF(AC157="","",IF(AC151=3,N153,IF(AC154=3,N156,IF(AC157=3,N159,""))))</f>
        <v>0</v>
      </c>
      <c r="M156" s="39" t="str">
        <f>N151</f>
        <v>Open</v>
      </c>
      <c r="N156" s="35"/>
      <c r="O156" s="23"/>
      <c r="P156" s="23"/>
      <c r="Q156" s="40">
        <f>IF(AT156&gt;0,"",IF(A156=0,"",IF(VLOOKUP(A156,'[1]plan gier'!A:S,19,FALSE)="","",VLOOKUP(A156,'[1]plan gier'!A:S,19,FALSE))))</f>
      </c>
      <c r="R156" s="69" t="s">
        <v>19</v>
      </c>
      <c r="S156" s="42">
        <v>40</v>
      </c>
      <c r="T156" s="179"/>
      <c r="U156" s="191">
        <f>IF(N156&lt;&gt;"",CONCATENATE(VLOOKUP(N156,'[1]zawodnicy'!$A:$E,1,FALSE)," ",VLOOKUP(N156,'[1]zawodnicy'!$A:$E,2,FALSE)," ",VLOOKUP(N156,'[1]zawodnicy'!$A:$E,3,FALSE)," - ",VLOOKUP(N156,'[1]zawodnicy'!$A:$E,4,FALSE)),"")</f>
      </c>
      <c r="V156" s="192"/>
      <c r="W156" s="70" t="str">
        <f>IF(SUM(AR156:AS156)=0,"",AS156&amp;":"&amp;AR156)</f>
        <v>21:16</v>
      </c>
      <c r="X156" s="59"/>
      <c r="Y156" s="37">
        <f>IF(SUM(AR155:AS155)=0,"",AR155&amp;":"&amp;AS155)</f>
      </c>
      <c r="Z156" s="179"/>
      <c r="AA156" s="184"/>
      <c r="AB156" s="184"/>
      <c r="AC156" s="187"/>
      <c r="AD156" s="2"/>
      <c r="AE156" s="22"/>
      <c r="AF156" s="22"/>
      <c r="AG156" s="69" t="s">
        <v>19</v>
      </c>
      <c r="AH156" s="71">
        <f>IF(ISBLANK(S156),"",VLOOKUP(S156,'[1]plan gier'!$X:$AN,12,FALSE))</f>
        <v>10</v>
      </c>
      <c r="AI156" s="72">
        <f>IF(ISBLANK(S156),"",VLOOKUP(S156,'[1]plan gier'!$X:$AN,13,FALSE))</f>
        <v>21</v>
      </c>
      <c r="AJ156" s="72">
        <f>IF(ISBLANK(S156),"",VLOOKUP(S156,'[1]plan gier'!$X:$AN,14,FALSE))</f>
        <v>21</v>
      </c>
      <c r="AK156" s="72">
        <f>IF(ISBLANK(S156),"",VLOOKUP(S156,'[1]plan gier'!$X:$AN,15,FALSE))</f>
        <v>16</v>
      </c>
      <c r="AL156" s="72">
        <f>IF(ISBLANK(S156),"",VLOOKUP(S156,'[1]plan gier'!$X:$AN,16,FALSE))</f>
        <v>16</v>
      </c>
      <c r="AM156" s="72">
        <f>IF(ISBLANK(S156),"",VLOOKUP(S156,'[1]plan gier'!$X:$AN,17,FALSE))</f>
        <v>21</v>
      </c>
      <c r="AN156" s="73">
        <f t="shared" si="14"/>
        <v>10</v>
      </c>
      <c r="AO156" s="72">
        <f t="shared" si="14"/>
        <v>21</v>
      </c>
      <c r="AP156" s="74">
        <f t="shared" si="14"/>
        <v>21</v>
      </c>
      <c r="AQ156" s="72">
        <f t="shared" si="14"/>
        <v>16</v>
      </c>
      <c r="AR156" s="74">
        <f t="shared" si="14"/>
        <v>16</v>
      </c>
      <c r="AS156" s="72">
        <f t="shared" si="14"/>
        <v>21</v>
      </c>
      <c r="AT156" s="51">
        <f>SUM(AN156:AS156)</f>
        <v>105</v>
      </c>
      <c r="AU156" s="52">
        <v>3</v>
      </c>
      <c r="AV156" s="71">
        <f>IF(AH154&lt;AI154,1,0)+IF(AJ154&lt;AK154,1,0)+IF(AL154&lt;AM154,1,0)</f>
        <v>0</v>
      </c>
      <c r="AW156" s="72">
        <f>AZ154</f>
        <v>2</v>
      </c>
      <c r="AX156" s="72">
        <f>IF(AH155&lt;AI155,1,0)+IF(AJ155&lt;AK155,1,0)+IF(AL155&lt;AM155,1,0)</f>
        <v>0</v>
      </c>
      <c r="AY156" s="72">
        <f>AZ155</f>
        <v>2</v>
      </c>
      <c r="AZ156" s="75"/>
      <c r="BA156" s="76"/>
      <c r="BD156" s="71">
        <f>AO154+AQ154+AS154+AO155+AQ155+AS155</f>
        <v>40</v>
      </c>
      <c r="BE156" s="77">
        <f>AN154+AP154+AR154+AN155+AP155+AR155</f>
        <v>84</v>
      </c>
      <c r="BF156" s="71">
        <f>AV156+AX156</f>
        <v>0</v>
      </c>
      <c r="BG156" s="77">
        <f>AW156+AY156</f>
        <v>4</v>
      </c>
      <c r="BH156" s="71">
        <f>IF(AV156&gt;AW156,1,0)+IF(AX156&gt;AY156,1,0)</f>
        <v>0</v>
      </c>
      <c r="BI156" s="78">
        <f>IF(AW156&gt;AV156,1,0)+IF(AY156&gt;AX156,1,0)</f>
        <v>2</v>
      </c>
      <c r="BJ156" s="79">
        <f>IF(BH156+BI156=0,"",IF(BK156=MAX(BK154:BK156),1,IF(BK156=MIN(BK154:BK156),3,2)))</f>
        <v>3</v>
      </c>
      <c r="BK156" s="13">
        <f>IF(BH156+BI156&lt;&gt;0,BH156-BI156+(BF156-BG156)/100+(BD156-BE156)/10000,-2)</f>
        <v>-2.0444</v>
      </c>
    </row>
    <row r="157" spans="1:59" ht="11.25" customHeight="1">
      <c r="A157" s="2"/>
      <c r="J157" s="23"/>
      <c r="K157" s="23"/>
      <c r="L157" s="23"/>
      <c r="O157" s="23"/>
      <c r="P157" s="23"/>
      <c r="Q157" s="2"/>
      <c r="R157" s="2"/>
      <c r="S157" s="2"/>
      <c r="T157" s="197">
        <v>3</v>
      </c>
      <c r="U157" s="198">
        <f>IF(AND(N158&lt;&gt;"",N159&lt;&gt;""),CONCATENATE(VLOOKUP(N158,'[1]zawodnicy'!$A:$E,1,FALSE)," ",VLOOKUP(N158,'[1]zawodnicy'!$A:$E,2,FALSE)," ",VLOOKUP(N158,'[1]zawodnicy'!$A:$E,3,FALSE)," - ",VLOOKUP(N158,'[1]zawodnicy'!$A:$E,4,FALSE)),"")</f>
      </c>
      <c r="V157" s="199"/>
      <c r="W157" s="43" t="str">
        <f>IF(SUM(AN154:AO154)=0,"",AO154&amp;":"&amp;AN154)</f>
        <v>8:21</v>
      </c>
      <c r="X157" s="80" t="str">
        <f>IF(SUM(AN155:AO155)=0,"",AO155&amp;":"&amp;AN155)</f>
        <v>12:21</v>
      </c>
      <c r="Y157" s="81"/>
      <c r="Z157" s="197" t="str">
        <f>IF(SUM(AV156:AY156)=0,"",BD156&amp;":"&amp;BE156)</f>
        <v>40:84</v>
      </c>
      <c r="AA157" s="200" t="str">
        <f>IF(SUM(AV156:AY156)=0,"",BF156&amp;":"&amp;BG156)</f>
        <v>0:4</v>
      </c>
      <c r="AB157" s="200" t="str">
        <f>IF(SUM(AV156:AY156)=0,"",BH156&amp;":"&amp;BI156)</f>
        <v>0:2</v>
      </c>
      <c r="AC157" s="201">
        <f>IF(SUM(BH154:BH156)&gt;0,BJ156,"")</f>
        <v>3</v>
      </c>
      <c r="AD157" s="2"/>
      <c r="AE157" s="22"/>
      <c r="AF157" s="22"/>
      <c r="BD157" s="12">
        <f>SUM(BD154:BD156)</f>
        <v>229</v>
      </c>
      <c r="BE157" s="12">
        <f>SUM(BE154:BE156)</f>
        <v>229</v>
      </c>
      <c r="BF157" s="12">
        <f>SUM(BF154:BF156)</f>
        <v>7</v>
      </c>
      <c r="BG157" s="12">
        <f>SUM(BG154:BG156)</f>
        <v>7</v>
      </c>
    </row>
    <row r="158" spans="1:63" ht="11.25" customHeight="1">
      <c r="A158" s="12"/>
      <c r="J158" s="12"/>
      <c r="K158" s="12"/>
      <c r="L158" s="12"/>
      <c r="N158" s="30" t="s">
        <v>66</v>
      </c>
      <c r="O158" s="31">
        <f>IF(O150&gt;0,(O150&amp;3)*1,"")</f>
        <v>23</v>
      </c>
      <c r="Q158" s="82"/>
      <c r="R158" s="82"/>
      <c r="S158" s="42"/>
      <c r="T158" s="178"/>
      <c r="U158" s="189" t="str">
        <f>IF(AND(N158&lt;&gt;"",N159=""),CONCATENATE(VLOOKUP(N158,'[1]zawodnicy'!$A:$E,1,FALSE)," ",VLOOKUP(N158,'[1]zawodnicy'!$A:$E,2,FALSE)," ",VLOOKUP(N158,'[1]zawodnicy'!$A:$E,3,FALSE)," - ",VLOOKUP(N158,'[1]zawodnicy'!$A:$E,4,FALSE)),"")</f>
        <v>J0001 Mateusz JĘDRZEJKO - Rzeszów</v>
      </c>
      <c r="V158" s="190"/>
      <c r="W158" s="58" t="str">
        <f>IF(SUM(AP154:AQ154)=0,"",AQ154&amp;":"&amp;AP154)</f>
        <v>10:21</v>
      </c>
      <c r="X158" s="33" t="str">
        <f>IF(SUM(AP155:AQ155)=0,"",AQ155&amp;":"&amp;AP155)</f>
        <v>10:21</v>
      </c>
      <c r="Y158" s="83"/>
      <c r="Z158" s="178"/>
      <c r="AA158" s="183"/>
      <c r="AB158" s="183"/>
      <c r="AC158" s="186"/>
      <c r="AD158" s="2"/>
      <c r="AE158" s="22"/>
      <c r="AF158" s="2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</row>
    <row r="159" spans="1:63" ht="11.25" customHeight="1" thickBot="1">
      <c r="A159" s="2"/>
      <c r="J159" s="23"/>
      <c r="K159" s="23"/>
      <c r="L159" s="23"/>
      <c r="N159" s="35"/>
      <c r="O159" s="23"/>
      <c r="P159" s="23"/>
      <c r="Q159" s="2"/>
      <c r="R159" s="2"/>
      <c r="S159" s="2"/>
      <c r="T159" s="202"/>
      <c r="U159" s="205">
        <f>IF(N159&lt;&gt;"",CONCATENATE(VLOOKUP(N159,'[1]zawodnicy'!$A:$E,1,FALSE)," ",VLOOKUP(N159,'[1]zawodnicy'!$A:$E,2,FALSE)," ",VLOOKUP(N159,'[1]zawodnicy'!$A:$E,3,FALSE)," - ",VLOOKUP(N159,'[1]zawodnicy'!$A:$E,4,FALSE)),"")</f>
      </c>
      <c r="V159" s="206"/>
      <c r="W159" s="84">
        <f>IF(SUM(AR154:AS154)=0,"",AS154&amp;":"&amp;AR154)</f>
      </c>
      <c r="X159" s="85">
        <f>IF(SUM(AR155:AS155)=0,"",AS155&amp;":"&amp;AR155)</f>
      </c>
      <c r="Y159" s="86"/>
      <c r="Z159" s="202"/>
      <c r="AA159" s="203"/>
      <c r="AB159" s="203"/>
      <c r="AC159" s="204"/>
      <c r="AD159" s="29"/>
      <c r="AE159" s="22"/>
      <c r="AF159" s="2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ht="11.25" customHeight="1"/>
    <row r="161" ht="11.25" customHeight="1"/>
    <row r="162" spans="10:63" ht="11.25" customHeight="1">
      <c r="J162" s="2"/>
      <c r="K162" s="2"/>
      <c r="L162" s="2"/>
      <c r="M162" s="142"/>
      <c r="N162" s="147">
        <v>1</v>
      </c>
      <c r="O162" s="119"/>
      <c r="P162" s="119"/>
      <c r="Q162" s="1"/>
      <c r="R162" s="1"/>
      <c r="S162" s="234" t="s">
        <v>67</v>
      </c>
      <c r="T162" s="234"/>
      <c r="U162" s="234"/>
      <c r="V162" s="234"/>
      <c r="W162" s="234"/>
      <c r="X162" s="234"/>
      <c r="Y162" s="234"/>
      <c r="Z162" s="234"/>
      <c r="AA162" s="234"/>
      <c r="AB162" s="234"/>
      <c r="AC162" s="129"/>
      <c r="AD162" s="129"/>
      <c r="AE162" s="129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10:63" ht="11.25" customHeight="1">
      <c r="J163" s="2"/>
      <c r="K163" s="2"/>
      <c r="L163" s="2"/>
      <c r="N163" s="148" t="s">
        <v>59</v>
      </c>
      <c r="P163" s="119"/>
      <c r="Q163" s="1"/>
      <c r="R163" s="1"/>
      <c r="S163" s="1"/>
      <c r="T163" s="120"/>
      <c r="U163" s="121"/>
      <c r="V163" s="121"/>
      <c r="W163" s="121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1:63" ht="11.25" customHeight="1">
      <c r="A164" s="122">
        <f>V164</f>
        <v>41</v>
      </c>
      <c r="B164" s="2" t="str">
        <f>IF(S164="","",S164)</f>
        <v>K0033</v>
      </c>
      <c r="D164" s="2" t="str">
        <f>IF(S165="","",S165)</f>
        <v>S0030</v>
      </c>
      <c r="F164" s="2" t="str">
        <f>IF(A164=0,IF(AND(LEN(B164)&gt;0,LEN(D164)=0),VLOOKUP(B164,'[1]zawodnicy'!$A:$E,1,FALSE),IF(AND(LEN(D164)&gt;0,LEN(B164)=0),VLOOKUP(D164,'[1]zawodnicy'!$A:$E,1,FALSE),"")),IF((VLOOKUP(A164,'[1]plan gier'!$X:$AF,7,FALSE))="","",VLOOKUP(VLOOKUP(A164,'[1]plan gier'!$X:$AF,7,FALSE),'[1]zawodnicy'!$A:$E,1,FALSE)))</f>
        <v>K0033</v>
      </c>
      <c r="H164" s="2" t="str">
        <f>IF(A164=0,"",IF((VLOOKUP(A164,'[1]plan gier'!$X:$AF,7,FALSE))="","",VLOOKUP(A164,'[1]plan gier'!$X:$AF,9,FALSE)))</f>
        <v>21:17,21:4</v>
      </c>
      <c r="J164" s="123"/>
      <c r="K164" s="123"/>
      <c r="L164" s="144" t="str">
        <f>IF(A164=0,"",IF(VLOOKUP(A164,'[1]plan gier'!A:S,19,FALSE)="","",VLOOKUP(A164,'[1]plan gier'!A:S,19,FALSE)))</f>
        <v>godz.12:20</v>
      </c>
      <c r="M164" s="2" t="str">
        <f>N163</f>
        <v>Open</v>
      </c>
      <c r="N164" s="145"/>
      <c r="O164" s="149">
        <v>1</v>
      </c>
      <c r="P164" s="124"/>
      <c r="Q164" s="87">
        <f>O164</f>
        <v>1</v>
      </c>
      <c r="S164" s="235" t="str">
        <f>UPPER(IF(O164="","",IF(ISTEXT(N164),N164,IF(AND(N162&gt;0,O164&gt;0),VLOOKUP(N162&amp;O164&amp;N163,I:J,2,FALSE),""))))</f>
        <v>K0033</v>
      </c>
      <c r="T164" s="236"/>
      <c r="U164" s="134" t="str">
        <f>IF(S164&lt;&gt;"",CONCATENATE(VLOOKUP(S164,'[1]zawodnicy'!$A:$E,2,FALSE)," ",VLOOKUP(S164,'[1]zawodnicy'!$A:$E,3,FALSE)," - ",VLOOKUP(S164,'[1]zawodnicy'!$A:$E,4,FALSE)),"")</f>
        <v>Marek KAMIŃSKI - Nowa Dęba</v>
      </c>
      <c r="V164" s="135">
        <v>41</v>
      </c>
      <c r="W164" s="227" t="str">
        <f>IF(F164="","",VLOOKUP(F164,'[1]zawodnicy'!$A:$D,3,FALSE))</f>
        <v>KAMIŃSKI</v>
      </c>
      <c r="X164" s="228"/>
      <c r="Y164" s="228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10:63" ht="11.25" customHeight="1">
      <c r="J165" s="123"/>
      <c r="K165" s="123"/>
      <c r="L165" s="123"/>
      <c r="N165" s="145"/>
      <c r="O165" s="150">
        <v>2</v>
      </c>
      <c r="P165" s="124"/>
      <c r="Q165" s="87">
        <f>O165</f>
        <v>2</v>
      </c>
      <c r="S165" s="235" t="str">
        <f>UPPER(IF(O165="","",IF(ISTEXT(N165),N165,IF(AND(N162&gt;0,O165&gt;0),VLOOKUP(N162&amp;O165&amp;N163,I:J,2,FALSE),""))))</f>
        <v>S0030</v>
      </c>
      <c r="T165" s="236"/>
      <c r="U165" s="134" t="str">
        <f>IF(S165&lt;&gt;"",CONCATENATE(VLOOKUP(S165,'[1]zawodnicy'!$A:$E,2,FALSE)," ",VLOOKUP(S165,'[1]zawodnicy'!$A:$E,3,FALSE)," - ",VLOOKUP(S165,'[1]zawodnicy'!$A:$E,4,FALSE)),"")</f>
        <v>Karol SZYMURA - Szczucin</v>
      </c>
      <c r="V165" s="136"/>
      <c r="W165" s="229" t="str">
        <f>IF(H164="",L164,H164)</f>
        <v>21:17,21:4</v>
      </c>
      <c r="X165" s="230"/>
      <c r="Y165" s="230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ht="11.25" customHeight="1"/>
    <row r="167" ht="11.25" customHeight="1"/>
    <row r="168" ht="11.25" customHeight="1"/>
    <row r="169" spans="10:63" ht="11.25" customHeight="1">
      <c r="J169" s="2"/>
      <c r="K169" s="2"/>
      <c r="L169" s="2"/>
      <c r="M169" s="142"/>
      <c r="N169" s="147">
        <v>2</v>
      </c>
      <c r="O169" s="119"/>
      <c r="P169" s="119"/>
      <c r="Q169" s="1"/>
      <c r="R169" s="1"/>
      <c r="S169" s="234" t="s">
        <v>48</v>
      </c>
      <c r="T169" s="234"/>
      <c r="U169" s="234"/>
      <c r="V169" s="234"/>
      <c r="W169" s="234"/>
      <c r="X169" s="234"/>
      <c r="Y169" s="234"/>
      <c r="Z169" s="234"/>
      <c r="AA169" s="234"/>
      <c r="AB169" s="234"/>
      <c r="AC169" s="129"/>
      <c r="AD169" s="129"/>
      <c r="AE169" s="129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10:63" ht="11.25" customHeight="1">
      <c r="J170" s="2"/>
      <c r="K170" s="2"/>
      <c r="L170" s="2"/>
      <c r="N170" s="148" t="s">
        <v>59</v>
      </c>
      <c r="P170" s="119"/>
      <c r="Q170" s="1"/>
      <c r="R170" s="1"/>
      <c r="S170" s="1"/>
      <c r="T170" s="120"/>
      <c r="U170" s="121"/>
      <c r="V170" s="121"/>
      <c r="W170" s="121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1:63" ht="11.25" customHeight="1">
      <c r="A171" s="122">
        <f>V171</f>
        <v>56</v>
      </c>
      <c r="B171" s="2" t="str">
        <f>IF(S171="","",S171)</f>
        <v>K0001</v>
      </c>
      <c r="D171" s="2" t="str">
        <f>IF(S172="","",S172)</f>
        <v>I0002</v>
      </c>
      <c r="F171" s="2" t="str">
        <f>IF(A171=0,IF(AND(LEN(B171)&gt;0,LEN(D171)=0),VLOOKUP(B171,'[1]zawodnicy'!$A:$E,1,FALSE),IF(AND(LEN(D171)&gt;0,LEN(B171)=0),VLOOKUP(D171,'[1]zawodnicy'!$A:$E,1,FALSE),"")),IF((VLOOKUP(A171,'[1]plan gier'!$X:$AF,7,FALSE))="","",VLOOKUP(VLOOKUP(A171,'[1]plan gier'!$X:$AF,7,FALSE),'[1]zawodnicy'!$A:$E,1,FALSE)))</f>
        <v>K0001</v>
      </c>
      <c r="H171" s="2" t="str">
        <f>IF(A171=0,"",IF((VLOOKUP(A171,'[1]plan gier'!$X:$AF,7,FALSE))="","",VLOOKUP(A171,'[1]plan gier'!$X:$AF,9,FALSE)))</f>
        <v>21:19,17:21,21:19</v>
      </c>
      <c r="J171" s="123"/>
      <c r="K171" s="123"/>
      <c r="L171" s="144" t="str">
        <f>IF(A171=0,"",IF(VLOOKUP(A171,'[1]plan gier'!A:S,19,FALSE)="","",VLOOKUP(A171,'[1]plan gier'!A:S,19,FALSE)))</f>
        <v>godz.13:20</v>
      </c>
      <c r="M171" s="2" t="str">
        <f>N170</f>
        <v>Open</v>
      </c>
      <c r="N171" s="145"/>
      <c r="O171" s="149">
        <v>1</v>
      </c>
      <c r="P171" s="124"/>
      <c r="Q171" s="87">
        <f>O171</f>
        <v>1</v>
      </c>
      <c r="S171" s="235" t="str">
        <f>UPPER(IF(O171="","",IF(ISTEXT(N171),N171,IF(AND(N169&gt;0,O171&gt;0),VLOOKUP(N169&amp;O171&amp;N170,I:J,2,FALSE),""))))</f>
        <v>K0001</v>
      </c>
      <c r="T171" s="236"/>
      <c r="U171" s="134" t="str">
        <f>IF(S171&lt;&gt;"",CONCATENATE(VLOOKUP(S171,'[1]zawodnicy'!$A:$E,2,FALSE)," ",VLOOKUP(S171,'[1]zawodnicy'!$A:$E,3,FALSE)," - ",VLOOKUP(S171,'[1]zawodnicy'!$A:$E,4,FALSE)),"")</f>
        <v>Marcin KALTENBERG - Tarnobrzeg</v>
      </c>
      <c r="V171" s="135">
        <v>56</v>
      </c>
      <c r="W171" s="227" t="str">
        <f>IF(F171="","",VLOOKUP(F171,'[1]zawodnicy'!$A:$D,3,FALSE))</f>
        <v>KALTENBERG</v>
      </c>
      <c r="X171" s="228"/>
      <c r="Y171" s="228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10:63" ht="11.25" customHeight="1">
      <c r="J172" s="123"/>
      <c r="K172" s="123"/>
      <c r="L172" s="123"/>
      <c r="N172" s="145"/>
      <c r="O172" s="150">
        <v>2</v>
      </c>
      <c r="P172" s="124"/>
      <c r="Q172" s="87">
        <f>O172</f>
        <v>2</v>
      </c>
      <c r="S172" s="235" t="str">
        <f>UPPER(IF(O172="","",IF(ISTEXT(N172),N172,IF(AND(N169&gt;0,O172&gt;0),VLOOKUP(N169&amp;O172&amp;N170,I:J,2,FALSE),""))))</f>
        <v>I0002</v>
      </c>
      <c r="T172" s="236"/>
      <c r="U172" s="134" t="str">
        <f>IF(S172&lt;&gt;"",CONCATENATE(VLOOKUP(S172,'[1]zawodnicy'!$A:$E,2,FALSE)," ",VLOOKUP(S172,'[1]zawodnicy'!$A:$E,3,FALSE)," - ",VLOOKUP(S172,'[1]zawodnicy'!$A:$E,4,FALSE)),"")</f>
        <v>Igor IWAŃSKI - Mielec</v>
      </c>
      <c r="V172" s="136"/>
      <c r="W172" s="229" t="str">
        <f>IF(H171="",L171,H171)</f>
        <v>21:19,17:21,21:19</v>
      </c>
      <c r="X172" s="230"/>
      <c r="Y172" s="230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ht="11.25" customHeight="1"/>
    <row r="174" ht="11.25" customHeight="1"/>
    <row r="175" ht="11.25" customHeight="1"/>
    <row r="176" spans="13:31" ht="11.25" customHeight="1">
      <c r="M176" s="9"/>
      <c r="N176" s="10" t="s">
        <v>68</v>
      </c>
      <c r="Q176" s="171" t="str">
        <f>"Gra "&amp;N176</f>
        <v>Gra Podwójna</v>
      </c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</row>
    <row r="177" ht="11.25" customHeight="1" thickBot="1"/>
    <row r="178" spans="14:32" ht="11.25" customHeight="1" thickBot="1">
      <c r="N178" s="8"/>
      <c r="O178" s="14">
        <v>1</v>
      </c>
      <c r="Q178" s="171" t="str">
        <f>"Grupa "&amp;O178&amp;"."</f>
        <v>Grupa 1.</v>
      </c>
      <c r="R178" s="171"/>
      <c r="S178" s="172"/>
      <c r="T178" s="15" t="s">
        <v>2</v>
      </c>
      <c r="U178" s="173" t="s">
        <v>3</v>
      </c>
      <c r="V178" s="174"/>
      <c r="W178" s="15">
        <v>1</v>
      </c>
      <c r="X178" s="17">
        <v>2</v>
      </c>
      <c r="Y178" s="18">
        <v>3</v>
      </c>
      <c r="Z178" s="19" t="s">
        <v>4</v>
      </c>
      <c r="AA178" s="20" t="s">
        <v>5</v>
      </c>
      <c r="AB178" s="20" t="s">
        <v>6</v>
      </c>
      <c r="AC178" s="21" t="s">
        <v>7</v>
      </c>
      <c r="AD178" s="2"/>
      <c r="AE178" s="22"/>
      <c r="AF178" s="22"/>
    </row>
    <row r="179" spans="10:45" ht="11.25" customHeight="1">
      <c r="J179" s="23"/>
      <c r="K179" s="23"/>
      <c r="L179" s="23"/>
      <c r="N179" s="24" t="s">
        <v>68</v>
      </c>
      <c r="Q179" s="175" t="s">
        <v>8</v>
      </c>
      <c r="R179" s="175"/>
      <c r="S179" s="176" t="s">
        <v>9</v>
      </c>
      <c r="T179" s="177">
        <v>1</v>
      </c>
      <c r="U179" s="180" t="str">
        <f>IF(AND(N180&lt;&gt;"",N181&lt;&gt;""),CONCATENATE(VLOOKUP(N180,'[1]zawodnicy'!$A:$E,1,FALSE)," ",VLOOKUP(N180,'[1]zawodnicy'!$A:$E,2,FALSE)," ",VLOOKUP(N180,'[1]zawodnicy'!$A:$E,3,FALSE)," - ",VLOOKUP(N180,'[1]zawodnicy'!$A:$E,4,FALSE)),"")</f>
        <v>B0009 Adam BUNIO - Nowa Dęba</v>
      </c>
      <c r="V179" s="181"/>
      <c r="W179" s="25"/>
      <c r="X179" s="26" t="str">
        <f>IF(SUM(AN184:AO184)=0,"",AN184&amp;":"&amp;AO184)</f>
        <v>21:5</v>
      </c>
      <c r="Y179" s="27" t="str">
        <f>IF(SUM(AN182:AO182)=0,"",AN182&amp;":"&amp;AO182)</f>
        <v>21:4</v>
      </c>
      <c r="Z179" s="177" t="str">
        <f>IF(SUM(AX182:BA182)=0,"",BD182&amp;":"&amp;BE182)</f>
        <v>84:23</v>
      </c>
      <c r="AA179" s="182" t="str">
        <f>IF(SUM(AX182:BA182)=0,"",BF182&amp;":"&amp;BG182)</f>
        <v>4:0</v>
      </c>
      <c r="AB179" s="182" t="str">
        <f>IF(SUM(AX182:BA182)=0,"",BH182&amp;":"&amp;BI182)</f>
        <v>2:0</v>
      </c>
      <c r="AC179" s="185">
        <f>IF(SUM(BH182:BH184)&gt;0,BJ182,"")</f>
        <v>1</v>
      </c>
      <c r="AD179" s="2"/>
      <c r="AE179" s="22"/>
      <c r="AF179" s="22"/>
      <c r="AG179" s="28"/>
      <c r="AH179" s="188" t="s">
        <v>10</v>
      </c>
      <c r="AI179" s="188"/>
      <c r="AJ179" s="188"/>
      <c r="AK179" s="188"/>
      <c r="AL179" s="188"/>
      <c r="AM179" s="188"/>
      <c r="AN179" s="188" t="s">
        <v>11</v>
      </c>
      <c r="AO179" s="188"/>
      <c r="AP179" s="188"/>
      <c r="AQ179" s="188"/>
      <c r="AR179" s="188"/>
      <c r="AS179" s="188"/>
    </row>
    <row r="180" spans="9:59" ht="11.25" customHeight="1" thickBot="1">
      <c r="I180" s="2" t="str">
        <f>"1"&amp;O178&amp;N179</f>
        <v>11Podwójna</v>
      </c>
      <c r="J180" s="29" t="str">
        <f>IF(AC179="","",IF(AC179=1,N180,IF(AC182=1,N183,IF(AC185=1,N186,""))))</f>
        <v>B0009</v>
      </c>
      <c r="K180" s="29" t="str">
        <f>IF(AC179="","",IF(AC179=1,N181,IF(AC182=1,N184,IF(AC185=1,N187,""))))</f>
        <v>K0033</v>
      </c>
      <c r="L180" s="29"/>
      <c r="N180" s="30" t="s">
        <v>57</v>
      </c>
      <c r="O180" s="31">
        <f>IF(O178&gt;0,(O178&amp;1)*1,"")</f>
        <v>11</v>
      </c>
      <c r="Q180" s="175"/>
      <c r="R180" s="175"/>
      <c r="S180" s="176"/>
      <c r="T180" s="178"/>
      <c r="U180" s="189">
        <f>IF(AND(N180&lt;&gt;"",N181=""),CONCATENATE(VLOOKUP(N180,'[1]zawodnicy'!$A:$E,1,FALSE)," ",VLOOKUP(N180,'[1]zawodnicy'!$A:$E,2,FALSE)," ",VLOOKUP(N180,'[1]zawodnicy'!$A:$E,3,FALSE)," - ",VLOOKUP(N180,'[1]zawodnicy'!$A:$E,4,FALSE)),"")</f>
      </c>
      <c r="V180" s="190"/>
      <c r="W180" s="32"/>
      <c r="X180" s="33" t="str">
        <f>IF(SUM(AP184:AQ184)=0,"",AP184&amp;":"&amp;AQ184)</f>
        <v>21:6</v>
      </c>
      <c r="Y180" s="34" t="str">
        <f>IF(SUM(AP182:AQ182)=0,"",AP182&amp;":"&amp;AQ182)</f>
        <v>21:8</v>
      </c>
      <c r="Z180" s="178"/>
      <c r="AA180" s="183"/>
      <c r="AB180" s="183"/>
      <c r="AC180" s="186"/>
      <c r="AD180" s="2"/>
      <c r="AE180" s="22"/>
      <c r="AF180" s="22"/>
      <c r="AG180" s="28"/>
      <c r="BD180" s="12">
        <f>SUM(BD182:BD184)</f>
        <v>181</v>
      </c>
      <c r="BE180" s="12">
        <f>SUM(BE182:BE184)</f>
        <v>181</v>
      </c>
      <c r="BF180" s="12">
        <f>SUM(BF182:BF184)</f>
        <v>6</v>
      </c>
      <c r="BG180" s="12">
        <f>SUM(BG182:BG184)</f>
        <v>6</v>
      </c>
    </row>
    <row r="181" spans="10:63" ht="11.25" customHeight="1" thickBot="1">
      <c r="J181" s="29"/>
      <c r="K181" s="23"/>
      <c r="L181" s="23"/>
      <c r="N181" s="35" t="s">
        <v>60</v>
      </c>
      <c r="O181" s="23"/>
      <c r="P181" s="23"/>
      <c r="Q181" s="175"/>
      <c r="R181" s="175"/>
      <c r="S181" s="176"/>
      <c r="T181" s="179"/>
      <c r="U181" s="191" t="str">
        <f>IF(N181&lt;&gt;"",CONCATENATE(VLOOKUP(N181,'[1]zawodnicy'!$A:$E,1,FALSE)," ",VLOOKUP(N181,'[1]zawodnicy'!$A:$E,2,FALSE)," ",VLOOKUP(N181,'[1]zawodnicy'!$A:$E,3,FALSE)," - ",VLOOKUP(N181,'[1]zawodnicy'!$A:$E,4,FALSE)),"")</f>
        <v>K0033 Marek KAMIŃSKI - Nowa Dęba</v>
      </c>
      <c r="V181" s="192"/>
      <c r="W181" s="32"/>
      <c r="X181" s="36">
        <f>IF(SUM(AR184:AS184)=0,"",AR184&amp;":"&amp;AS184)</f>
      </c>
      <c r="Y181" s="37">
        <f>IF(SUM(AR182:AS182)=0,"",AR182&amp;":"&amp;AS182)</f>
      </c>
      <c r="Z181" s="179"/>
      <c r="AA181" s="184"/>
      <c r="AB181" s="184"/>
      <c r="AC181" s="187"/>
      <c r="AD181" s="2"/>
      <c r="AE181" s="22"/>
      <c r="AF181" s="22"/>
      <c r="AG181" s="28"/>
      <c r="AH181" s="193" t="s">
        <v>13</v>
      </c>
      <c r="AI181" s="194"/>
      <c r="AJ181" s="195" t="s">
        <v>14</v>
      </c>
      <c r="AK181" s="194"/>
      <c r="AL181" s="195" t="s">
        <v>15</v>
      </c>
      <c r="AM181" s="196"/>
      <c r="AN181" s="193" t="s">
        <v>13</v>
      </c>
      <c r="AO181" s="194"/>
      <c r="AP181" s="195" t="s">
        <v>14</v>
      </c>
      <c r="AQ181" s="194"/>
      <c r="AR181" s="195" t="s">
        <v>15</v>
      </c>
      <c r="AS181" s="194"/>
      <c r="AT181" s="22"/>
      <c r="AU181" s="22"/>
      <c r="AV181" s="193">
        <v>1</v>
      </c>
      <c r="AW181" s="194"/>
      <c r="AX181" s="195">
        <v>2</v>
      </c>
      <c r="AY181" s="194"/>
      <c r="AZ181" s="195">
        <v>3</v>
      </c>
      <c r="BA181" s="196"/>
      <c r="BD181" s="193" t="s">
        <v>4</v>
      </c>
      <c r="BE181" s="196"/>
      <c r="BF181" s="193" t="s">
        <v>5</v>
      </c>
      <c r="BG181" s="196"/>
      <c r="BH181" s="193" t="s">
        <v>6</v>
      </c>
      <c r="BI181" s="196"/>
      <c r="BJ181" s="38" t="s">
        <v>7</v>
      </c>
      <c r="BK181" s="13">
        <f>SUM(BK182:BK184)</f>
        <v>-2.203098814490545E-16</v>
      </c>
    </row>
    <row r="182" spans="1:63" ht="11.25" customHeight="1">
      <c r="A182" s="12">
        <f>S182</f>
        <v>45</v>
      </c>
      <c r="B182" s="2" t="str">
        <f>IF(N180="","",N180)</f>
        <v>B0009</v>
      </c>
      <c r="C182" s="2" t="str">
        <f>IF(N181="","",N181)</f>
        <v>K0033</v>
      </c>
      <c r="D182" s="2" t="str">
        <f>IF(N186="","",N186)</f>
        <v>S0033</v>
      </c>
      <c r="E182" s="2" t="str">
        <f>IF(N187="","",N187)</f>
        <v>S0032</v>
      </c>
      <c r="I182" s="2" t="str">
        <f>"2"&amp;O178&amp;N179</f>
        <v>21Podwójna</v>
      </c>
      <c r="J182" s="29" t="str">
        <f>IF(AC182="","",IF(AC179=2,N180,IF(AC182=2,N183,IF(AC185=2,N186,""))))</f>
        <v>S0033</v>
      </c>
      <c r="K182" s="29" t="str">
        <f>IF(AC182="","",IF(AC179=2,N181,IF(AC182=2,N184,IF(AC185=2,N187,""))))</f>
        <v>S0032</v>
      </c>
      <c r="M182" s="39" t="str">
        <f>N179</f>
        <v>Podwójna</v>
      </c>
      <c r="O182" s="23"/>
      <c r="P182" s="23"/>
      <c r="Q182" s="40">
        <f>IF(AT182&gt;0,"",IF(A182=0,"",IF(VLOOKUP(A182,'[1]plan gier'!A:S,19,FALSE)="","",VLOOKUP(A182,'[1]plan gier'!A:S,19,FALSE))))</f>
      </c>
      <c r="R182" s="41" t="s">
        <v>16</v>
      </c>
      <c r="S182" s="42">
        <v>45</v>
      </c>
      <c r="T182" s="197">
        <v>2</v>
      </c>
      <c r="U182" s="198" t="str">
        <f>IF(AND(N183&lt;&gt;"",N184&lt;&gt;""),CONCATENATE(VLOOKUP(N183,'[1]zawodnicy'!$A:$E,1,FALSE)," ",VLOOKUP(N183,'[1]zawodnicy'!$A:$E,2,FALSE)," ",VLOOKUP(N183,'[1]zawodnicy'!$A:$E,3,FALSE)," - ",VLOOKUP(N183,'[1]zawodnicy'!$A:$E,4,FALSE)),"")</f>
        <v>P0021 Mikołaj POLAŃSKI - Rzeszów</v>
      </c>
      <c r="V182" s="199"/>
      <c r="W182" s="43" t="str">
        <f>IF(SUM(AN184:AO184)=0,"",AO184&amp;":"&amp;AN184)</f>
        <v>5:21</v>
      </c>
      <c r="X182" s="44"/>
      <c r="Y182" s="45" t="str">
        <f>IF(SUM(AN183:AO183)=0,"",AN183&amp;":"&amp;AO183)</f>
        <v>18:21</v>
      </c>
      <c r="Z182" s="197" t="str">
        <f>IF(SUM(AV183:AW183,AZ183:BA183)=0,"",BD183&amp;":"&amp;BE183)</f>
        <v>43:84</v>
      </c>
      <c r="AA182" s="200" t="str">
        <f>IF(SUM(AV183:AW183,AZ183:BA183)=0,"",BF183&amp;":"&amp;BG183)</f>
        <v>0:4</v>
      </c>
      <c r="AB182" s="200" t="str">
        <f>IF(SUM(AV183:AW183,AZ183:BA183)=0,"",BH183&amp;":"&amp;BI183)</f>
        <v>0:2</v>
      </c>
      <c r="AC182" s="201">
        <f>IF(SUM(BH182:BH184)&gt;0,BJ183,"")</f>
        <v>3</v>
      </c>
      <c r="AD182" s="2"/>
      <c r="AE182" s="22"/>
      <c r="AF182" s="22"/>
      <c r="AG182" s="41" t="s">
        <v>16</v>
      </c>
      <c r="AH182" s="46">
        <f>IF(ISBLANK(S182),"",VLOOKUP(S182,'[1]plan gier'!$X:$AN,12,FALSE))</f>
        <v>21</v>
      </c>
      <c r="AI182" s="47">
        <f>IF(ISBLANK(S182),"",VLOOKUP(S182,'[1]plan gier'!$X:$AN,13,FALSE))</f>
        <v>4</v>
      </c>
      <c r="AJ182" s="47">
        <f>IF(ISBLANK(S182),"",VLOOKUP(S182,'[1]plan gier'!$X:$AN,14,FALSE))</f>
        <v>21</v>
      </c>
      <c r="AK182" s="47">
        <f>IF(ISBLANK(S182),"",VLOOKUP(S182,'[1]plan gier'!$X:$AN,15,FALSE))</f>
        <v>8</v>
      </c>
      <c r="AL182" s="47">
        <f>IF(ISBLANK(S182),"",VLOOKUP(S182,'[1]plan gier'!$X:$AN,16,FALSE))</f>
        <v>0</v>
      </c>
      <c r="AM182" s="47">
        <f>IF(ISBLANK(S182),"",VLOOKUP(S182,'[1]plan gier'!$X:$AN,17,FALSE))</f>
        <v>0</v>
      </c>
      <c r="AN182" s="48">
        <f aca="true" t="shared" si="15" ref="AN182:AS184">IF(AH182="",0,AH182)</f>
        <v>21</v>
      </c>
      <c r="AO182" s="49">
        <f t="shared" si="15"/>
        <v>4</v>
      </c>
      <c r="AP182" s="50">
        <f t="shared" si="15"/>
        <v>21</v>
      </c>
      <c r="AQ182" s="49">
        <f t="shared" si="15"/>
        <v>8</v>
      </c>
      <c r="AR182" s="50">
        <f t="shared" si="15"/>
        <v>0</v>
      </c>
      <c r="AS182" s="49">
        <f t="shared" si="15"/>
        <v>0</v>
      </c>
      <c r="AT182" s="51">
        <f>SUM(AN182:AS182)</f>
        <v>54</v>
      </c>
      <c r="AU182" s="52">
        <v>1</v>
      </c>
      <c r="AV182" s="53"/>
      <c r="AW182" s="54"/>
      <c r="AX182" s="47">
        <f>IF(AH184&gt;AI184,1,0)+IF(AJ184&gt;AK184,1,0)+IF(AL184&gt;AM184,1,0)</f>
        <v>2</v>
      </c>
      <c r="AY182" s="47">
        <f>AV183</f>
        <v>0</v>
      </c>
      <c r="AZ182" s="47">
        <f>IF(AH182&gt;AI182,1,0)+IF(AJ182&gt;AK182,1,0)+IF(AL182&gt;AM182,1,0)</f>
        <v>2</v>
      </c>
      <c r="BA182" s="55">
        <f>AV184</f>
        <v>0</v>
      </c>
      <c r="BD182" s="46">
        <f>AN182+AP182+AR182+AN184+AP184+AR184</f>
        <v>84</v>
      </c>
      <c r="BE182" s="55">
        <f>AO182+AQ182+AS182+AO184+AQ184+AS184</f>
        <v>23</v>
      </c>
      <c r="BF182" s="46">
        <f>AX182+AZ182</f>
        <v>4</v>
      </c>
      <c r="BG182" s="55">
        <f>AY182+BA182</f>
        <v>0</v>
      </c>
      <c r="BH182" s="46">
        <f>IF(AX182&gt;AY182,1,0)+IF(AZ182&gt;BA182,1,0)</f>
        <v>2</v>
      </c>
      <c r="BI182" s="56">
        <f>IF(AY182&gt;AX182,1,0)+IF(BA182&gt;AZ182,1,0)</f>
        <v>0</v>
      </c>
      <c r="BJ182" s="57">
        <f>IF(BH182+BI182=0,"",IF(BK182=MAX(BK182:BK184),1,IF(BK182=MIN(BK182:BK184),3,2)))</f>
        <v>1</v>
      </c>
      <c r="BK182" s="13">
        <f>IF(BH182+BI182&lt;&gt;0,BH182-BI182+(BF182-BG182)/100+(BD182-BE182)/10000,-2)</f>
        <v>2.0461</v>
      </c>
    </row>
    <row r="183" spans="1:63" ht="11.25" customHeight="1">
      <c r="A183" s="12">
        <f>S183</f>
        <v>48</v>
      </c>
      <c r="B183" s="2" t="str">
        <f>IF(N183="","",N183)</f>
        <v>P0021</v>
      </c>
      <c r="C183" s="2" t="str">
        <f>IF(N184="","",N184)</f>
        <v>S0034</v>
      </c>
      <c r="D183" s="2" t="str">
        <f>IF(N186="","",N186)</f>
        <v>S0033</v>
      </c>
      <c r="E183" s="2" t="str">
        <f>IF(N187="","",N187)</f>
        <v>S0032</v>
      </c>
      <c r="J183" s="29"/>
      <c r="K183" s="12"/>
      <c r="M183" s="39" t="str">
        <f>N179</f>
        <v>Podwójna</v>
      </c>
      <c r="N183" s="30" t="s">
        <v>22</v>
      </c>
      <c r="O183" s="31">
        <f>IF(O178&gt;0,(O178&amp;2)*1,"")</f>
        <v>12</v>
      </c>
      <c r="Q183" s="40">
        <f>IF(AT183&gt;0,"",IF(A183=0,"",IF(VLOOKUP(A183,'[1]plan gier'!A:S,19,FALSE)="","",VLOOKUP(A183,'[1]plan gier'!A:S,19,FALSE))))</f>
      </c>
      <c r="R183" s="41" t="s">
        <v>18</v>
      </c>
      <c r="S183" s="42">
        <v>48</v>
      </c>
      <c r="T183" s="178"/>
      <c r="U183" s="189">
        <f>IF(AND(N183&lt;&gt;"",N184=""),CONCATENATE(VLOOKUP(N183,'[1]zawodnicy'!$A:$E,1,FALSE)," ",VLOOKUP(N183,'[1]zawodnicy'!$A:$E,2,FALSE)," ",VLOOKUP(N183,'[1]zawodnicy'!$A:$E,3,FALSE)," - ",VLOOKUP(N183,'[1]zawodnicy'!$A:$E,4,FALSE)),"")</f>
      </c>
      <c r="V183" s="190"/>
      <c r="W183" s="58" t="str">
        <f>IF(SUM(AP184:AQ184)=0,"",AQ184&amp;":"&amp;AP184)</f>
        <v>6:21</v>
      </c>
      <c r="X183" s="59"/>
      <c r="Y183" s="34" t="str">
        <f>IF(SUM(AP183:AQ183)=0,"",AP183&amp;":"&amp;AQ183)</f>
        <v>14:21</v>
      </c>
      <c r="Z183" s="178"/>
      <c r="AA183" s="183"/>
      <c r="AB183" s="183"/>
      <c r="AC183" s="186"/>
      <c r="AD183" s="2"/>
      <c r="AE183" s="22"/>
      <c r="AF183" s="22"/>
      <c r="AG183" s="41" t="s">
        <v>18</v>
      </c>
      <c r="AH183" s="60">
        <f>IF(ISBLANK(S183),"",VLOOKUP(S183,'[1]plan gier'!$X:$AN,12,FALSE))</f>
        <v>18</v>
      </c>
      <c r="AI183" s="61">
        <f>IF(ISBLANK(S183),"",VLOOKUP(S183,'[1]plan gier'!$X:$AN,13,FALSE))</f>
        <v>21</v>
      </c>
      <c r="AJ183" s="61">
        <f>IF(ISBLANK(S183),"",VLOOKUP(S183,'[1]plan gier'!$X:$AN,14,FALSE))</f>
        <v>14</v>
      </c>
      <c r="AK183" s="61">
        <f>IF(ISBLANK(S183),"",VLOOKUP(S183,'[1]plan gier'!$X:$AN,15,FALSE))</f>
        <v>21</v>
      </c>
      <c r="AL183" s="61">
        <f>IF(ISBLANK(S183),"",VLOOKUP(S183,'[1]plan gier'!$X:$AN,16,FALSE))</f>
        <v>0</v>
      </c>
      <c r="AM183" s="61">
        <f>IF(ISBLANK(S183),"",VLOOKUP(S183,'[1]plan gier'!$X:$AN,17,FALSE))</f>
        <v>0</v>
      </c>
      <c r="AN183" s="62">
        <f t="shared" si="15"/>
        <v>18</v>
      </c>
      <c r="AO183" s="61">
        <f t="shared" si="15"/>
        <v>21</v>
      </c>
      <c r="AP183" s="63">
        <f t="shared" si="15"/>
        <v>14</v>
      </c>
      <c r="AQ183" s="61">
        <f t="shared" si="15"/>
        <v>21</v>
      </c>
      <c r="AR183" s="63">
        <f t="shared" si="15"/>
        <v>0</v>
      </c>
      <c r="AS183" s="61">
        <f t="shared" si="15"/>
        <v>0</v>
      </c>
      <c r="AT183" s="51">
        <f>SUM(AN183:AS183)</f>
        <v>74</v>
      </c>
      <c r="AU183" s="52">
        <v>2</v>
      </c>
      <c r="AV183" s="60">
        <f>IF(AH184&lt;AI184,1,0)+IF(AJ184&lt;AK184,1,0)+IF(AL184&lt;AM184,1,0)</f>
        <v>0</v>
      </c>
      <c r="AW183" s="61">
        <f>AX182</f>
        <v>2</v>
      </c>
      <c r="AX183" s="64"/>
      <c r="AY183" s="65"/>
      <c r="AZ183" s="61">
        <f>IF(AH183&gt;AI183,1,0)+IF(AJ183&gt;AK183,1,0)+IF(AL183&gt;AM183,1,0)</f>
        <v>0</v>
      </c>
      <c r="BA183" s="66">
        <f>AX184</f>
        <v>2</v>
      </c>
      <c r="BD183" s="60">
        <f>AN183+AP183+AR183+AO184+AQ184+AS184</f>
        <v>43</v>
      </c>
      <c r="BE183" s="66">
        <f>AO183+AQ183+AS183+AN184+AP184+AR184</f>
        <v>84</v>
      </c>
      <c r="BF183" s="60">
        <f>AV183+AZ183</f>
        <v>0</v>
      </c>
      <c r="BG183" s="66">
        <f>AW183+BA183</f>
        <v>4</v>
      </c>
      <c r="BH183" s="60">
        <f>IF(AV183&gt;AW183,1,0)+IF(AZ183&gt;BA183,1,0)</f>
        <v>0</v>
      </c>
      <c r="BI183" s="67">
        <f>IF(AW183&gt;AV183,1,0)+IF(BA183&gt;AZ183,1,0)</f>
        <v>2</v>
      </c>
      <c r="BJ183" s="68">
        <f>IF(BH183+BI183=0,"",IF(BK183=MAX(BK182:BK184),1,IF(BK183=MIN(BK182:BK184),3,2)))</f>
        <v>3</v>
      </c>
      <c r="BK183" s="13">
        <f>IF(BH183+BI183&lt;&gt;0,BH183-BI183+(BF183-BG183)/100+(BD183-BE183)/10000,-2)</f>
        <v>-2.0441000000000003</v>
      </c>
    </row>
    <row r="184" spans="1:63" ht="11.25" customHeight="1" thickBot="1">
      <c r="A184" s="12">
        <f>S184</f>
        <v>51</v>
      </c>
      <c r="B184" s="2" t="str">
        <f>IF(N180="","",N180)</f>
        <v>B0009</v>
      </c>
      <c r="C184" s="2" t="str">
        <f>IF(N181="","",N181)</f>
        <v>K0033</v>
      </c>
      <c r="D184" s="2" t="str">
        <f>IF(N183="","",N183)</f>
        <v>P0021</v>
      </c>
      <c r="E184" s="2" t="str">
        <f>IF(N184="","",N184)</f>
        <v>S0034</v>
      </c>
      <c r="I184" s="2" t="str">
        <f>"3"&amp;O178&amp;N179</f>
        <v>31Podwójna</v>
      </c>
      <c r="J184" s="29" t="str">
        <f>IF(AC185="","",IF(AC179=3,N180,IF(AC182=3,N183,IF(AC185=3,N186,""))))</f>
        <v>P0021</v>
      </c>
      <c r="K184" s="29" t="str">
        <f>IF(AC185="","",IF(AC179=3,N181,IF(AC182=3,N184,IF(AC185=3,N187,""))))</f>
        <v>S0034</v>
      </c>
      <c r="M184" s="39" t="str">
        <f>N179</f>
        <v>Podwójna</v>
      </c>
      <c r="N184" s="35" t="s">
        <v>32</v>
      </c>
      <c r="O184" s="23"/>
      <c r="P184" s="23"/>
      <c r="Q184" s="40">
        <f>IF(AT184&gt;0,"",IF(A184=0,"",IF(VLOOKUP(A184,'[1]plan gier'!A:S,19,FALSE)="","",VLOOKUP(A184,'[1]plan gier'!A:S,19,FALSE))))</f>
      </c>
      <c r="R184" s="69" t="s">
        <v>19</v>
      </c>
      <c r="S184" s="42">
        <v>51</v>
      </c>
      <c r="T184" s="179"/>
      <c r="U184" s="191" t="str">
        <f>IF(N184&lt;&gt;"",CONCATENATE(VLOOKUP(N184,'[1]zawodnicy'!$A:$E,1,FALSE)," ",VLOOKUP(N184,'[1]zawodnicy'!$A:$E,2,FALSE)," ",VLOOKUP(N184,'[1]zawodnicy'!$A:$E,3,FALSE)," - ",VLOOKUP(N184,'[1]zawodnicy'!$A:$E,4,FALSE)),"")</f>
        <v>S0034 Jakub SITEK - Rzeszów</v>
      </c>
      <c r="V184" s="192"/>
      <c r="W184" s="70">
        <f>IF(SUM(AR184:AS184)=0,"",AS184&amp;":"&amp;AR184)</f>
      </c>
      <c r="X184" s="59"/>
      <c r="Y184" s="37">
        <f>IF(SUM(AR183:AS183)=0,"",AR183&amp;":"&amp;AS183)</f>
      </c>
      <c r="Z184" s="179"/>
      <c r="AA184" s="184"/>
      <c r="AB184" s="184"/>
      <c r="AC184" s="187"/>
      <c r="AD184" s="2"/>
      <c r="AE184" s="22"/>
      <c r="AF184" s="22"/>
      <c r="AG184" s="69" t="s">
        <v>19</v>
      </c>
      <c r="AH184" s="71">
        <f>IF(ISBLANK(S184),"",VLOOKUP(S184,'[1]plan gier'!$X:$AN,12,FALSE))</f>
        <v>21</v>
      </c>
      <c r="AI184" s="72">
        <f>IF(ISBLANK(S184),"",VLOOKUP(S184,'[1]plan gier'!$X:$AN,13,FALSE))</f>
        <v>5</v>
      </c>
      <c r="AJ184" s="72">
        <f>IF(ISBLANK(S184),"",VLOOKUP(S184,'[1]plan gier'!$X:$AN,14,FALSE))</f>
        <v>21</v>
      </c>
      <c r="AK184" s="72">
        <f>IF(ISBLANK(S184),"",VLOOKUP(S184,'[1]plan gier'!$X:$AN,15,FALSE))</f>
        <v>6</v>
      </c>
      <c r="AL184" s="72">
        <f>IF(ISBLANK(S184),"",VLOOKUP(S184,'[1]plan gier'!$X:$AN,16,FALSE))</f>
        <v>0</v>
      </c>
      <c r="AM184" s="72">
        <f>IF(ISBLANK(S184),"",VLOOKUP(S184,'[1]plan gier'!$X:$AN,17,FALSE))</f>
        <v>0</v>
      </c>
      <c r="AN184" s="73">
        <f t="shared" si="15"/>
        <v>21</v>
      </c>
      <c r="AO184" s="72">
        <f t="shared" si="15"/>
        <v>5</v>
      </c>
      <c r="AP184" s="74">
        <f t="shared" si="15"/>
        <v>21</v>
      </c>
      <c r="AQ184" s="72">
        <f t="shared" si="15"/>
        <v>6</v>
      </c>
      <c r="AR184" s="74">
        <f t="shared" si="15"/>
        <v>0</v>
      </c>
      <c r="AS184" s="72">
        <f t="shared" si="15"/>
        <v>0</v>
      </c>
      <c r="AT184" s="51">
        <f>SUM(AN184:AS184)</f>
        <v>53</v>
      </c>
      <c r="AU184" s="52">
        <v>3</v>
      </c>
      <c r="AV184" s="71">
        <f>IF(AH182&lt;AI182,1,0)+IF(AJ182&lt;AK182,1,0)+IF(AL182&lt;AM182,1,0)</f>
        <v>0</v>
      </c>
      <c r="AW184" s="72">
        <f>AZ182</f>
        <v>2</v>
      </c>
      <c r="AX184" s="72">
        <f>IF(AH183&lt;AI183,1,0)+IF(AJ183&lt;AK183,1,0)+IF(AL183&lt;AM183,1,0)</f>
        <v>2</v>
      </c>
      <c r="AY184" s="72">
        <f>AZ183</f>
        <v>0</v>
      </c>
      <c r="AZ184" s="75"/>
      <c r="BA184" s="76"/>
      <c r="BD184" s="71">
        <f>AO182+AQ182+AS182+AO183+AQ183+AS183</f>
        <v>54</v>
      </c>
      <c r="BE184" s="77">
        <f>AN182+AP182+AR182+AN183+AP183+AR183</f>
        <v>74</v>
      </c>
      <c r="BF184" s="71">
        <f>AV184+AX184</f>
        <v>2</v>
      </c>
      <c r="BG184" s="77">
        <f>AW184+AY184</f>
        <v>2</v>
      </c>
      <c r="BH184" s="71">
        <f>IF(AV184&gt;AW184,1,0)+IF(AX184&gt;AY184,1,0)</f>
        <v>1</v>
      </c>
      <c r="BI184" s="78">
        <f>IF(AW184&gt;AV184,1,0)+IF(AY184&gt;AX184,1,0)</f>
        <v>1</v>
      </c>
      <c r="BJ184" s="79">
        <f>IF(BH184+BI184=0,"",IF(BK184=MAX(BK182:BK184),1,IF(BK184=MIN(BK182:BK184),3,2)))</f>
        <v>2</v>
      </c>
      <c r="BK184" s="13">
        <f>IF(BH184+BI184&lt;&gt;0,BH184-BI184+(BF184-BG184)/100+(BD184-BE184)/10000,-2)</f>
        <v>-0.002</v>
      </c>
    </row>
    <row r="185" spans="1:59" ht="11.25" customHeight="1">
      <c r="A185" s="2"/>
      <c r="J185" s="23"/>
      <c r="K185" s="23"/>
      <c r="L185" s="23"/>
      <c r="O185" s="23"/>
      <c r="P185" s="23"/>
      <c r="Q185" s="2"/>
      <c r="R185" s="2"/>
      <c r="S185" s="2"/>
      <c r="T185" s="197">
        <v>3</v>
      </c>
      <c r="U185" s="198" t="str">
        <f>IF(AND(N186&lt;&gt;"",N187&lt;&gt;""),CONCATENATE(VLOOKUP(N186,'[1]zawodnicy'!$A:$E,1,FALSE)," ",VLOOKUP(N186,'[1]zawodnicy'!$A:$E,2,FALSE)," ",VLOOKUP(N186,'[1]zawodnicy'!$A:$E,3,FALSE)," - ",VLOOKUP(N186,'[1]zawodnicy'!$A:$E,4,FALSE)),"")</f>
        <v>S0033 Mikołaj STRAŻ - Mielec</v>
      </c>
      <c r="V185" s="199"/>
      <c r="W185" s="43" t="str">
        <f>IF(SUM(AN182:AO182)=0,"",AO182&amp;":"&amp;AN182)</f>
        <v>4:21</v>
      </c>
      <c r="X185" s="80" t="str">
        <f>IF(SUM(AN183:AO183)=0,"",AO183&amp;":"&amp;AN183)</f>
        <v>21:18</v>
      </c>
      <c r="Y185" s="81"/>
      <c r="Z185" s="197" t="str">
        <f>IF(SUM(AV184:AY184)=0,"",BD184&amp;":"&amp;BE184)</f>
        <v>54:74</v>
      </c>
      <c r="AA185" s="200" t="str">
        <f>IF(SUM(AV184:AY184)=0,"",BF184&amp;":"&amp;BG184)</f>
        <v>2:2</v>
      </c>
      <c r="AB185" s="200" t="str">
        <f>IF(SUM(AV184:AY184)=0,"",BH184&amp;":"&amp;BI184)</f>
        <v>1:1</v>
      </c>
      <c r="AC185" s="201">
        <f>IF(SUM(BH182:BH184)&gt;0,BJ184,"")</f>
        <v>2</v>
      </c>
      <c r="AD185" s="2"/>
      <c r="AE185" s="22"/>
      <c r="AF185" s="22"/>
      <c r="BD185" s="12">
        <f>SUM(BD182:BD184)</f>
        <v>181</v>
      </c>
      <c r="BE185" s="12">
        <f>SUM(BE182:BE184)</f>
        <v>181</v>
      </c>
      <c r="BF185" s="12">
        <f>SUM(BF182:BF184)</f>
        <v>6</v>
      </c>
      <c r="BG185" s="12">
        <f>SUM(BG182:BG184)</f>
        <v>6</v>
      </c>
    </row>
    <row r="186" spans="1:63" ht="11.25" customHeight="1">
      <c r="A186" s="12"/>
      <c r="J186" s="12"/>
      <c r="K186" s="12"/>
      <c r="L186" s="12"/>
      <c r="N186" s="30" t="s">
        <v>25</v>
      </c>
      <c r="O186" s="31">
        <f>IF(O178&gt;0,(O178&amp;3)*1,"")</f>
        <v>13</v>
      </c>
      <c r="Q186" s="82"/>
      <c r="R186" s="82"/>
      <c r="S186" s="42"/>
      <c r="T186" s="178"/>
      <c r="U186" s="189">
        <f>IF(AND(N186&lt;&gt;"",N187=""),CONCATENATE(VLOOKUP(N186,'[1]zawodnicy'!$A:$E,1,FALSE)," ",VLOOKUP(N186,'[1]zawodnicy'!$A:$E,2,FALSE)," ",VLOOKUP(N186,'[1]zawodnicy'!$A:$E,3,FALSE)," - ",VLOOKUP(N186,'[1]zawodnicy'!$A:$E,4,FALSE)),"")</f>
      </c>
      <c r="V186" s="190"/>
      <c r="W186" s="58" t="str">
        <f>IF(SUM(AP182:AQ182)=0,"",AQ182&amp;":"&amp;AP182)</f>
        <v>8:21</v>
      </c>
      <c r="X186" s="33" t="str">
        <f>IF(SUM(AP183:AQ183)=0,"",AQ183&amp;":"&amp;AP183)</f>
        <v>21:14</v>
      </c>
      <c r="Y186" s="83"/>
      <c r="Z186" s="178"/>
      <c r="AA186" s="183"/>
      <c r="AB186" s="183"/>
      <c r="AC186" s="186"/>
      <c r="AD186" s="2"/>
      <c r="AE186" s="22"/>
      <c r="AF186" s="2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</row>
    <row r="187" spans="1:63" ht="11.25" customHeight="1" thickBot="1">
      <c r="A187" s="2"/>
      <c r="J187" s="23"/>
      <c r="K187" s="23"/>
      <c r="L187" s="23"/>
      <c r="N187" s="35" t="s">
        <v>28</v>
      </c>
      <c r="O187" s="23"/>
      <c r="P187" s="23"/>
      <c r="Q187" s="2"/>
      <c r="R187" s="2"/>
      <c r="S187" s="2"/>
      <c r="T187" s="202"/>
      <c r="U187" s="205" t="str">
        <f>IF(N187&lt;&gt;"",CONCATENATE(VLOOKUP(N187,'[1]zawodnicy'!$A:$E,1,FALSE)," ",VLOOKUP(N187,'[1]zawodnicy'!$A:$E,2,FALSE)," ",VLOOKUP(N187,'[1]zawodnicy'!$A:$E,3,FALSE)," - ",VLOOKUP(N187,'[1]zawodnicy'!$A:$E,4,FALSE)),"")</f>
        <v>S0032 Łukasz SZANTULA - Mielec</v>
      </c>
      <c r="V187" s="206"/>
      <c r="W187" s="84">
        <f>IF(SUM(AR182:AS182)=0,"",AS182&amp;":"&amp;AR182)</f>
      </c>
      <c r="X187" s="85">
        <f>IF(SUM(AR183:AS183)=0,"",AS183&amp;":"&amp;AR183)</f>
      </c>
      <c r="Y187" s="86"/>
      <c r="Z187" s="202"/>
      <c r="AA187" s="203"/>
      <c r="AB187" s="203"/>
      <c r="AC187" s="204"/>
      <c r="AD187" s="29"/>
      <c r="AE187" s="22"/>
      <c r="AF187" s="2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</row>
    <row r="188" ht="11.25" customHeight="1" thickBot="1"/>
    <row r="189" spans="14:32" ht="11.25" customHeight="1" thickBot="1">
      <c r="N189" s="8"/>
      <c r="O189" s="14">
        <v>2</v>
      </c>
      <c r="Q189" s="171" t="str">
        <f>"Grupa "&amp;O189&amp;"."</f>
        <v>Grupa 2.</v>
      </c>
      <c r="R189" s="171"/>
      <c r="S189" s="172"/>
      <c r="T189" s="15" t="s">
        <v>2</v>
      </c>
      <c r="U189" s="173" t="s">
        <v>3</v>
      </c>
      <c r="V189" s="174"/>
      <c r="W189" s="15">
        <v>1</v>
      </c>
      <c r="X189" s="17">
        <v>2</v>
      </c>
      <c r="Y189" s="18">
        <v>3</v>
      </c>
      <c r="Z189" s="19" t="s">
        <v>4</v>
      </c>
      <c r="AA189" s="20" t="s">
        <v>5</v>
      </c>
      <c r="AB189" s="20" t="s">
        <v>6</v>
      </c>
      <c r="AC189" s="21" t="s">
        <v>7</v>
      </c>
      <c r="AD189" s="2"/>
      <c r="AE189" s="22"/>
      <c r="AF189" s="22"/>
    </row>
    <row r="190" spans="10:45" ht="11.25" customHeight="1">
      <c r="J190" s="23"/>
      <c r="K190" s="23"/>
      <c r="L190" s="23"/>
      <c r="N190" s="24" t="s">
        <v>68</v>
      </c>
      <c r="Q190" s="175" t="s">
        <v>8</v>
      </c>
      <c r="R190" s="175"/>
      <c r="S190" s="176" t="s">
        <v>9</v>
      </c>
      <c r="T190" s="177">
        <v>1</v>
      </c>
      <c r="U190" s="180" t="str">
        <f>IF(AND(N191&lt;&gt;"",N192&lt;&gt;""),CONCATENATE(VLOOKUP(N191,'[1]zawodnicy'!$A:$E,1,FALSE)," ",VLOOKUP(N191,'[1]zawodnicy'!$A:$E,2,FALSE)," ",VLOOKUP(N191,'[1]zawodnicy'!$A:$E,3,FALSE)," - ",VLOOKUP(N191,'[1]zawodnicy'!$A:$E,4,FALSE)),"")</f>
        <v>K0012 Piotr KOTERBA - Rzeszów</v>
      </c>
      <c r="V190" s="181"/>
      <c r="W190" s="25"/>
      <c r="X190" s="26" t="str">
        <f>IF(SUM(AN195:AO195)=0,"",AN195&amp;":"&amp;AO195)</f>
        <v>13:21</v>
      </c>
      <c r="Y190" s="27" t="str">
        <f>IF(SUM(AN193:AO193)=0,"",AN193&amp;":"&amp;AO193)</f>
        <v>12:21</v>
      </c>
      <c r="Z190" s="177" t="str">
        <f>IF(SUM(AX193:BA193)=0,"",BD193&amp;":"&amp;BE193)</f>
        <v>56:84</v>
      </c>
      <c r="AA190" s="182" t="str">
        <f>IF(SUM(AX193:BA193)=0,"",BF193&amp;":"&amp;BG193)</f>
        <v>0:4</v>
      </c>
      <c r="AB190" s="182" t="str">
        <f>IF(SUM(AX193:BA193)=0,"",BH193&amp;":"&amp;BI193)</f>
        <v>0:2</v>
      </c>
      <c r="AC190" s="185">
        <f>IF(SUM(BH193:BH195)&gt;0,BJ193,"")</f>
        <v>3</v>
      </c>
      <c r="AD190" s="2"/>
      <c r="AE190" s="22"/>
      <c r="AF190" s="22"/>
      <c r="AG190" s="28"/>
      <c r="AH190" s="188" t="s">
        <v>10</v>
      </c>
      <c r="AI190" s="188"/>
      <c r="AJ190" s="188"/>
      <c r="AK190" s="188"/>
      <c r="AL190" s="188"/>
      <c r="AM190" s="188"/>
      <c r="AN190" s="188" t="s">
        <v>11</v>
      </c>
      <c r="AO190" s="188"/>
      <c r="AP190" s="188"/>
      <c r="AQ190" s="188"/>
      <c r="AR190" s="188"/>
      <c r="AS190" s="188"/>
    </row>
    <row r="191" spans="9:59" ht="11.25" customHeight="1" thickBot="1">
      <c r="I191" s="2" t="str">
        <f>"1"&amp;O189&amp;N190</f>
        <v>12Podwójna</v>
      </c>
      <c r="J191" s="29" t="str">
        <f>IF(AC190="","",IF(AC190=1,N191,IF(AC193=1,N194,IF(AC196=1,N197,""))))</f>
        <v>K0001</v>
      </c>
      <c r="K191" s="29" t="str">
        <f>IF(AC190="","",IF(AC190=1,N192,IF(AC193=1,N195,IF(AC196=1,N198,""))))</f>
        <v>M0023</v>
      </c>
      <c r="L191" s="29"/>
      <c r="N191" s="30" t="s">
        <v>24</v>
      </c>
      <c r="O191" s="31">
        <f>IF(O189&gt;0,(O189&amp;1)*1,"")</f>
        <v>21</v>
      </c>
      <c r="Q191" s="175"/>
      <c r="R191" s="175"/>
      <c r="S191" s="176"/>
      <c r="T191" s="178"/>
      <c r="U191" s="189">
        <f>IF(AND(N191&lt;&gt;"",N192=""),CONCATENATE(VLOOKUP(N191,'[1]zawodnicy'!$A:$E,1,FALSE)," ",VLOOKUP(N191,'[1]zawodnicy'!$A:$E,2,FALSE)," ",VLOOKUP(N191,'[1]zawodnicy'!$A:$E,3,FALSE)," - ",VLOOKUP(N191,'[1]zawodnicy'!$A:$E,4,FALSE)),"")</f>
      </c>
      <c r="V191" s="190"/>
      <c r="W191" s="32"/>
      <c r="X191" s="33" t="str">
        <f>IF(SUM(AP195:AQ195)=0,"",AP195&amp;":"&amp;AQ195)</f>
        <v>18:21</v>
      </c>
      <c r="Y191" s="34" t="str">
        <f>IF(SUM(AP193:AQ193)=0,"",AP193&amp;":"&amp;AQ193)</f>
        <v>13:21</v>
      </c>
      <c r="Z191" s="178"/>
      <c r="AA191" s="183"/>
      <c r="AB191" s="183"/>
      <c r="AC191" s="186"/>
      <c r="AD191" s="2"/>
      <c r="AE191" s="22"/>
      <c r="AF191" s="22"/>
      <c r="AG191" s="28"/>
      <c r="BD191" s="12">
        <f>SUM(BD193:BD195)</f>
        <v>199</v>
      </c>
      <c r="BE191" s="12">
        <f>SUM(BE193:BE195)</f>
        <v>199</v>
      </c>
      <c r="BF191" s="12">
        <f>SUM(BF193:BF195)</f>
        <v>6</v>
      </c>
      <c r="BG191" s="12">
        <f>SUM(BG193:BG195)</f>
        <v>6</v>
      </c>
    </row>
    <row r="192" spans="10:63" ht="11.25" customHeight="1" thickBot="1">
      <c r="J192" s="29"/>
      <c r="K192" s="23"/>
      <c r="L192" s="23"/>
      <c r="N192" s="35" t="s">
        <v>55</v>
      </c>
      <c r="O192" s="23"/>
      <c r="P192" s="23"/>
      <c r="Q192" s="175"/>
      <c r="R192" s="175"/>
      <c r="S192" s="176"/>
      <c r="T192" s="179"/>
      <c r="U192" s="191" t="str">
        <f>IF(N192&lt;&gt;"",CONCATENATE(VLOOKUP(N192,'[1]zawodnicy'!$A:$E,1,FALSE)," ",VLOOKUP(N192,'[1]zawodnicy'!$A:$E,2,FALSE)," ",VLOOKUP(N192,'[1]zawodnicy'!$A:$E,3,FALSE)," - ",VLOOKUP(N192,'[1]zawodnicy'!$A:$E,4,FALSE)),"")</f>
        <v>D0008 Patrycja DOMAŃSKA - Rzeszów</v>
      </c>
      <c r="V192" s="192"/>
      <c r="W192" s="32"/>
      <c r="X192" s="36">
        <f>IF(SUM(AR195:AS195)=0,"",AR195&amp;":"&amp;AS195)</f>
      </c>
      <c r="Y192" s="37">
        <f>IF(SUM(AR193:AS193)=0,"",AR193&amp;":"&amp;AS193)</f>
      </c>
      <c r="Z192" s="179"/>
      <c r="AA192" s="184"/>
      <c r="AB192" s="184"/>
      <c r="AC192" s="187"/>
      <c r="AD192" s="2"/>
      <c r="AE192" s="22"/>
      <c r="AF192" s="22"/>
      <c r="AG192" s="28"/>
      <c r="AH192" s="193" t="s">
        <v>13</v>
      </c>
      <c r="AI192" s="194"/>
      <c r="AJ192" s="195" t="s">
        <v>14</v>
      </c>
      <c r="AK192" s="194"/>
      <c r="AL192" s="195" t="s">
        <v>15</v>
      </c>
      <c r="AM192" s="196"/>
      <c r="AN192" s="193" t="s">
        <v>13</v>
      </c>
      <c r="AO192" s="194"/>
      <c r="AP192" s="195" t="s">
        <v>14</v>
      </c>
      <c r="AQ192" s="194"/>
      <c r="AR192" s="195" t="s">
        <v>15</v>
      </c>
      <c r="AS192" s="194"/>
      <c r="AT192" s="22"/>
      <c r="AU192" s="22"/>
      <c r="AV192" s="193">
        <v>1</v>
      </c>
      <c r="AW192" s="194"/>
      <c r="AX192" s="195">
        <v>2</v>
      </c>
      <c r="AY192" s="194"/>
      <c r="AZ192" s="195">
        <v>3</v>
      </c>
      <c r="BA192" s="196"/>
      <c r="BD192" s="193" t="s">
        <v>4</v>
      </c>
      <c r="BE192" s="196"/>
      <c r="BF192" s="193" t="s">
        <v>5</v>
      </c>
      <c r="BG192" s="196"/>
      <c r="BH192" s="193" t="s">
        <v>6</v>
      </c>
      <c r="BI192" s="196"/>
      <c r="BJ192" s="38" t="s">
        <v>7</v>
      </c>
      <c r="BK192" s="13">
        <f>SUM(BK193:BK195)</f>
        <v>0</v>
      </c>
    </row>
    <row r="193" spans="1:63" ht="11.25" customHeight="1">
      <c r="A193" s="12">
        <f>S193</f>
        <v>46</v>
      </c>
      <c r="B193" s="2" t="str">
        <f>IF(N191="","",N191)</f>
        <v>K0012</v>
      </c>
      <c r="C193" s="2" t="str">
        <f>IF(N192="","",N192)</f>
        <v>D0008</v>
      </c>
      <c r="D193" s="2" t="str">
        <f>IF(N197="","",N197)</f>
        <v>K0001</v>
      </c>
      <c r="E193" s="2" t="str">
        <f>IF(N198="","",N198)</f>
        <v>M0023</v>
      </c>
      <c r="I193" s="2" t="str">
        <f>"2"&amp;O189&amp;N190</f>
        <v>22Podwójna</v>
      </c>
      <c r="J193" s="29" t="str">
        <f>IF(AC193="","",IF(AC190=2,N191,IF(AC193=2,N194,IF(AC196=2,N197,""))))</f>
        <v>N0002</v>
      </c>
      <c r="K193" s="29" t="str">
        <f>IF(AC193="","",IF(AC190=2,N192,IF(AC193=2,N195,IF(AC196=2,N198,""))))</f>
        <v>S0020</v>
      </c>
      <c r="M193" s="39" t="str">
        <f>N190</f>
        <v>Podwójna</v>
      </c>
      <c r="O193" s="23"/>
      <c r="P193" s="23"/>
      <c r="Q193" s="40">
        <f>IF(AT193&gt;0,"",IF(A193=0,"",IF(VLOOKUP(A193,'[1]plan gier'!A:S,19,FALSE)="","",VLOOKUP(A193,'[1]plan gier'!A:S,19,FALSE))))</f>
      </c>
      <c r="R193" s="41" t="s">
        <v>16</v>
      </c>
      <c r="S193" s="42">
        <v>46</v>
      </c>
      <c r="T193" s="197">
        <v>2</v>
      </c>
      <c r="U193" s="198" t="str">
        <f>IF(AND(N194&lt;&gt;"",N195&lt;&gt;""),CONCATENATE(VLOOKUP(N194,'[1]zawodnicy'!$A:$E,1,FALSE)," ",VLOOKUP(N194,'[1]zawodnicy'!$A:$E,2,FALSE)," ",VLOOKUP(N194,'[1]zawodnicy'!$A:$E,3,FALSE)," - ",VLOOKUP(N194,'[1]zawodnicy'!$A:$E,4,FALSE)),"")</f>
        <v>N0002 Robert NOWAK - Mielec</v>
      </c>
      <c r="V193" s="199"/>
      <c r="W193" s="43" t="str">
        <f>IF(SUM(AN195:AO195)=0,"",AO195&amp;":"&amp;AN195)</f>
        <v>21:13</v>
      </c>
      <c r="X193" s="44"/>
      <c r="Y193" s="45" t="str">
        <f>IF(SUM(AN194:AO194)=0,"",AN194&amp;":"&amp;AO194)</f>
        <v>8:21</v>
      </c>
      <c r="Z193" s="197" t="str">
        <f>IF(SUM(AV194:AW194,AZ194:BA194)=0,"",BD194&amp;":"&amp;BE194)</f>
        <v>59:73</v>
      </c>
      <c r="AA193" s="200" t="str">
        <f>IF(SUM(AV194:AW194,AZ194:BA194)=0,"",BF194&amp;":"&amp;BG194)</f>
        <v>2:2</v>
      </c>
      <c r="AB193" s="200" t="str">
        <f>IF(SUM(AV194:AW194,AZ194:BA194)=0,"",BH194&amp;":"&amp;BI194)</f>
        <v>1:1</v>
      </c>
      <c r="AC193" s="201">
        <f>IF(SUM(BH193:BH195)&gt;0,BJ194,"")</f>
        <v>2</v>
      </c>
      <c r="AD193" s="2"/>
      <c r="AE193" s="22"/>
      <c r="AF193" s="22"/>
      <c r="AG193" s="41" t="s">
        <v>16</v>
      </c>
      <c r="AH193" s="46">
        <f>IF(ISBLANK(S193),"",VLOOKUP(S193,'[1]plan gier'!$X:$AN,12,FALSE))</f>
        <v>12</v>
      </c>
      <c r="AI193" s="47">
        <f>IF(ISBLANK(S193),"",VLOOKUP(S193,'[1]plan gier'!$X:$AN,13,FALSE))</f>
        <v>21</v>
      </c>
      <c r="AJ193" s="47">
        <f>IF(ISBLANK(S193),"",VLOOKUP(S193,'[1]plan gier'!$X:$AN,14,FALSE))</f>
        <v>13</v>
      </c>
      <c r="AK193" s="47">
        <f>IF(ISBLANK(S193),"",VLOOKUP(S193,'[1]plan gier'!$X:$AN,15,FALSE))</f>
        <v>21</v>
      </c>
      <c r="AL193" s="47">
        <f>IF(ISBLANK(S193),"",VLOOKUP(S193,'[1]plan gier'!$X:$AN,16,FALSE))</f>
        <v>0</v>
      </c>
      <c r="AM193" s="47">
        <f>IF(ISBLANK(S193),"",VLOOKUP(S193,'[1]plan gier'!$X:$AN,17,FALSE))</f>
        <v>0</v>
      </c>
      <c r="AN193" s="48">
        <f aca="true" t="shared" si="16" ref="AN193:AS195">IF(AH193="",0,AH193)</f>
        <v>12</v>
      </c>
      <c r="AO193" s="49">
        <f t="shared" si="16"/>
        <v>21</v>
      </c>
      <c r="AP193" s="50">
        <f t="shared" si="16"/>
        <v>13</v>
      </c>
      <c r="AQ193" s="49">
        <f t="shared" si="16"/>
        <v>21</v>
      </c>
      <c r="AR193" s="50">
        <f t="shared" si="16"/>
        <v>0</v>
      </c>
      <c r="AS193" s="49">
        <f t="shared" si="16"/>
        <v>0</v>
      </c>
      <c r="AT193" s="51">
        <f>SUM(AN193:AS193)</f>
        <v>67</v>
      </c>
      <c r="AU193" s="52">
        <v>1</v>
      </c>
      <c r="AV193" s="53"/>
      <c r="AW193" s="54"/>
      <c r="AX193" s="47">
        <f>IF(AH195&gt;AI195,1,0)+IF(AJ195&gt;AK195,1,0)+IF(AL195&gt;AM195,1,0)</f>
        <v>0</v>
      </c>
      <c r="AY193" s="47">
        <f>AV194</f>
        <v>2</v>
      </c>
      <c r="AZ193" s="47">
        <f>IF(AH193&gt;AI193,1,0)+IF(AJ193&gt;AK193,1,0)+IF(AL193&gt;AM193,1,0)</f>
        <v>0</v>
      </c>
      <c r="BA193" s="55">
        <f>AV195</f>
        <v>2</v>
      </c>
      <c r="BD193" s="46">
        <f>AN193+AP193+AR193+AN195+AP195+AR195</f>
        <v>56</v>
      </c>
      <c r="BE193" s="55">
        <f>AO193+AQ193+AS193+AO195+AQ195+AS195</f>
        <v>84</v>
      </c>
      <c r="BF193" s="46">
        <f>AX193+AZ193</f>
        <v>0</v>
      </c>
      <c r="BG193" s="55">
        <f>AY193+BA193</f>
        <v>4</v>
      </c>
      <c r="BH193" s="46">
        <f>IF(AX193&gt;AY193,1,0)+IF(AZ193&gt;BA193,1,0)</f>
        <v>0</v>
      </c>
      <c r="BI193" s="56">
        <f>IF(AY193&gt;AX193,1,0)+IF(BA193&gt;AZ193,1,0)</f>
        <v>2</v>
      </c>
      <c r="BJ193" s="57">
        <f>IF(BH193+BI193=0,"",IF(BK193=MAX(BK193:BK195),1,IF(BK193=MIN(BK193:BK195),3,2)))</f>
        <v>3</v>
      </c>
      <c r="BK193" s="13">
        <f>IF(BH193+BI193&lt;&gt;0,BH193-BI193+(BF193-BG193)/100+(BD193-BE193)/10000,-2)</f>
        <v>-2.0428</v>
      </c>
    </row>
    <row r="194" spans="1:63" ht="11.25" customHeight="1">
      <c r="A194" s="12">
        <f>S194</f>
        <v>49</v>
      </c>
      <c r="B194" s="2" t="str">
        <f>IF(N194="","",N194)</f>
        <v>N0002</v>
      </c>
      <c r="C194" s="2" t="str">
        <f>IF(N195="","",N195)</f>
        <v>S0020</v>
      </c>
      <c r="D194" s="2" t="str">
        <f>IF(N197="","",N197)</f>
        <v>K0001</v>
      </c>
      <c r="E194" s="2" t="str">
        <f>IF(N198="","",N198)</f>
        <v>M0023</v>
      </c>
      <c r="J194" s="29"/>
      <c r="K194" s="12"/>
      <c r="M194" s="39" t="str">
        <f>N190</f>
        <v>Podwójna</v>
      </c>
      <c r="N194" s="30" t="s">
        <v>12</v>
      </c>
      <c r="O194" s="31">
        <f>IF(O189&gt;0,(O189&amp;2)*1,"")</f>
        <v>22</v>
      </c>
      <c r="Q194" s="40">
        <f>IF(AT194&gt;0,"",IF(A194=0,"",IF(VLOOKUP(A194,'[1]plan gier'!A:S,19,FALSE)="","",VLOOKUP(A194,'[1]plan gier'!A:S,19,FALSE))))</f>
      </c>
      <c r="R194" s="41" t="s">
        <v>18</v>
      </c>
      <c r="S194" s="42">
        <v>49</v>
      </c>
      <c r="T194" s="178"/>
      <c r="U194" s="189">
        <f>IF(AND(N194&lt;&gt;"",N195=""),CONCATENATE(VLOOKUP(N194,'[1]zawodnicy'!$A:$E,1,FALSE)," ",VLOOKUP(N194,'[1]zawodnicy'!$A:$E,2,FALSE)," ",VLOOKUP(N194,'[1]zawodnicy'!$A:$E,3,FALSE)," - ",VLOOKUP(N194,'[1]zawodnicy'!$A:$E,4,FALSE)),"")</f>
      </c>
      <c r="V194" s="190"/>
      <c r="W194" s="58" t="str">
        <f>IF(SUM(AP195:AQ195)=0,"",AQ195&amp;":"&amp;AP195)</f>
        <v>21:18</v>
      </c>
      <c r="X194" s="59"/>
      <c r="Y194" s="34" t="str">
        <f>IF(SUM(AP194:AQ194)=0,"",AP194&amp;":"&amp;AQ194)</f>
        <v>9:21</v>
      </c>
      <c r="Z194" s="178"/>
      <c r="AA194" s="183"/>
      <c r="AB194" s="183"/>
      <c r="AC194" s="186"/>
      <c r="AD194" s="2"/>
      <c r="AE194" s="22"/>
      <c r="AF194" s="22"/>
      <c r="AG194" s="41" t="s">
        <v>18</v>
      </c>
      <c r="AH194" s="60">
        <f>IF(ISBLANK(S194),"",VLOOKUP(S194,'[1]plan gier'!$X:$AN,12,FALSE))</f>
        <v>8</v>
      </c>
      <c r="AI194" s="61">
        <f>IF(ISBLANK(S194),"",VLOOKUP(S194,'[1]plan gier'!$X:$AN,13,FALSE))</f>
        <v>21</v>
      </c>
      <c r="AJ194" s="61">
        <f>IF(ISBLANK(S194),"",VLOOKUP(S194,'[1]plan gier'!$X:$AN,14,FALSE))</f>
        <v>9</v>
      </c>
      <c r="AK194" s="61">
        <f>IF(ISBLANK(S194),"",VLOOKUP(S194,'[1]plan gier'!$X:$AN,15,FALSE))</f>
        <v>21</v>
      </c>
      <c r="AL194" s="61">
        <f>IF(ISBLANK(S194),"",VLOOKUP(S194,'[1]plan gier'!$X:$AN,16,FALSE))</f>
        <v>0</v>
      </c>
      <c r="AM194" s="61">
        <f>IF(ISBLANK(S194),"",VLOOKUP(S194,'[1]plan gier'!$X:$AN,17,FALSE))</f>
        <v>0</v>
      </c>
      <c r="AN194" s="62">
        <f t="shared" si="16"/>
        <v>8</v>
      </c>
      <c r="AO194" s="61">
        <f t="shared" si="16"/>
        <v>21</v>
      </c>
      <c r="AP194" s="63">
        <f t="shared" si="16"/>
        <v>9</v>
      </c>
      <c r="AQ194" s="61">
        <f t="shared" si="16"/>
        <v>21</v>
      </c>
      <c r="AR194" s="63">
        <f t="shared" si="16"/>
        <v>0</v>
      </c>
      <c r="AS194" s="61">
        <f t="shared" si="16"/>
        <v>0</v>
      </c>
      <c r="AT194" s="51">
        <f>SUM(AN194:AS194)</f>
        <v>59</v>
      </c>
      <c r="AU194" s="52">
        <v>2</v>
      </c>
      <c r="AV194" s="60">
        <f>IF(AH195&lt;AI195,1,0)+IF(AJ195&lt;AK195,1,0)+IF(AL195&lt;AM195,1,0)</f>
        <v>2</v>
      </c>
      <c r="AW194" s="61">
        <f>AX193</f>
        <v>0</v>
      </c>
      <c r="AX194" s="64"/>
      <c r="AY194" s="65"/>
      <c r="AZ194" s="61">
        <f>IF(AH194&gt;AI194,1,0)+IF(AJ194&gt;AK194,1,0)+IF(AL194&gt;AM194,1,0)</f>
        <v>0</v>
      </c>
      <c r="BA194" s="66">
        <f>AX195</f>
        <v>2</v>
      </c>
      <c r="BD194" s="60">
        <f>AN194+AP194+AR194+AO195+AQ195+AS195</f>
        <v>59</v>
      </c>
      <c r="BE194" s="66">
        <f>AO194+AQ194+AS194+AN195+AP195+AR195</f>
        <v>73</v>
      </c>
      <c r="BF194" s="60">
        <f>AV194+AZ194</f>
        <v>2</v>
      </c>
      <c r="BG194" s="66">
        <f>AW194+BA194</f>
        <v>2</v>
      </c>
      <c r="BH194" s="60">
        <f>IF(AV194&gt;AW194,1,0)+IF(AZ194&gt;BA194,1,0)</f>
        <v>1</v>
      </c>
      <c r="BI194" s="67">
        <f>IF(AW194&gt;AV194,1,0)+IF(BA194&gt;AZ194,1,0)</f>
        <v>1</v>
      </c>
      <c r="BJ194" s="68">
        <f>IF(BH194+BI194=0,"",IF(BK194=MAX(BK193:BK195),1,IF(BK194=MIN(BK193:BK195),3,2)))</f>
        <v>2</v>
      </c>
      <c r="BK194" s="13">
        <f>IF(BH194+BI194&lt;&gt;0,BH194-BI194+(BF194-BG194)/100+(BD194-BE194)/10000,-2)</f>
        <v>-0.0014</v>
      </c>
    </row>
    <row r="195" spans="1:63" ht="11.25" customHeight="1" thickBot="1">
      <c r="A195" s="12">
        <f>S195</f>
        <v>52</v>
      </c>
      <c r="B195" s="2" t="str">
        <f>IF(N191="","",N191)</f>
        <v>K0012</v>
      </c>
      <c r="C195" s="2" t="str">
        <f>IF(N192="","",N192)</f>
        <v>D0008</v>
      </c>
      <c r="D195" s="2" t="str">
        <f>IF(N194="","",N194)</f>
        <v>N0002</v>
      </c>
      <c r="E195" s="2" t="str">
        <f>IF(N195="","",N195)</f>
        <v>S0020</v>
      </c>
      <c r="I195" s="2" t="str">
        <f>"3"&amp;O189&amp;N190</f>
        <v>32Podwójna</v>
      </c>
      <c r="J195" s="29" t="str">
        <f>IF(AC196="","",IF(AC190=3,N191,IF(AC193=3,N194,IF(AC196=3,N197,""))))</f>
        <v>K0012</v>
      </c>
      <c r="K195" s="29" t="str">
        <f>IF(AC196="","",IF(AC190=3,N192,IF(AC193=3,N195,IF(AC196=3,N198,""))))</f>
        <v>D0008</v>
      </c>
      <c r="M195" s="39" t="str">
        <f>N190</f>
        <v>Podwójna</v>
      </c>
      <c r="N195" s="35" t="s">
        <v>31</v>
      </c>
      <c r="O195" s="23"/>
      <c r="P195" s="23"/>
      <c r="Q195" s="40">
        <f>IF(AT195&gt;0,"",IF(A195=0,"",IF(VLOOKUP(A195,'[1]plan gier'!A:S,19,FALSE)="","",VLOOKUP(A195,'[1]plan gier'!A:S,19,FALSE))))</f>
      </c>
      <c r="R195" s="69" t="s">
        <v>19</v>
      </c>
      <c r="S195" s="42">
        <v>52</v>
      </c>
      <c r="T195" s="179"/>
      <c r="U195" s="191" t="str">
        <f>IF(N195&lt;&gt;"",CONCATENATE(VLOOKUP(N195,'[1]zawodnicy'!$A:$E,1,FALSE)," ",VLOOKUP(N195,'[1]zawodnicy'!$A:$E,2,FALSE)," ",VLOOKUP(N195,'[1]zawodnicy'!$A:$E,3,FALSE)," - ",VLOOKUP(N195,'[1]zawodnicy'!$A:$E,4,FALSE)),"")</f>
        <v>S0020 Mariusz SŁOMBA - Mielec</v>
      </c>
      <c r="V195" s="192"/>
      <c r="W195" s="70">
        <f>IF(SUM(AR195:AS195)=0,"",AS195&amp;":"&amp;AR195)</f>
      </c>
      <c r="X195" s="59"/>
      <c r="Y195" s="37">
        <f>IF(SUM(AR194:AS194)=0,"",AR194&amp;":"&amp;AS194)</f>
      </c>
      <c r="Z195" s="179"/>
      <c r="AA195" s="184"/>
      <c r="AB195" s="184"/>
      <c r="AC195" s="187"/>
      <c r="AD195" s="2"/>
      <c r="AE195" s="22"/>
      <c r="AF195" s="22"/>
      <c r="AG195" s="69" t="s">
        <v>19</v>
      </c>
      <c r="AH195" s="71">
        <f>IF(ISBLANK(S195),"",VLOOKUP(S195,'[1]plan gier'!$X:$AN,12,FALSE))</f>
        <v>13</v>
      </c>
      <c r="AI195" s="72">
        <f>IF(ISBLANK(S195),"",VLOOKUP(S195,'[1]plan gier'!$X:$AN,13,FALSE))</f>
        <v>21</v>
      </c>
      <c r="AJ195" s="72">
        <f>IF(ISBLANK(S195),"",VLOOKUP(S195,'[1]plan gier'!$X:$AN,14,FALSE))</f>
        <v>18</v>
      </c>
      <c r="AK195" s="72">
        <f>IF(ISBLANK(S195),"",VLOOKUP(S195,'[1]plan gier'!$X:$AN,15,FALSE))</f>
        <v>21</v>
      </c>
      <c r="AL195" s="72">
        <f>IF(ISBLANK(S195),"",VLOOKUP(S195,'[1]plan gier'!$X:$AN,16,FALSE))</f>
        <v>0</v>
      </c>
      <c r="AM195" s="72">
        <f>IF(ISBLANK(S195),"",VLOOKUP(S195,'[1]plan gier'!$X:$AN,17,FALSE))</f>
        <v>0</v>
      </c>
      <c r="AN195" s="73">
        <f t="shared" si="16"/>
        <v>13</v>
      </c>
      <c r="AO195" s="72">
        <f t="shared" si="16"/>
        <v>21</v>
      </c>
      <c r="AP195" s="74">
        <f t="shared" si="16"/>
        <v>18</v>
      </c>
      <c r="AQ195" s="72">
        <f t="shared" si="16"/>
        <v>21</v>
      </c>
      <c r="AR195" s="74">
        <f t="shared" si="16"/>
        <v>0</v>
      </c>
      <c r="AS195" s="72">
        <f t="shared" si="16"/>
        <v>0</v>
      </c>
      <c r="AT195" s="51">
        <f>SUM(AN195:AS195)</f>
        <v>73</v>
      </c>
      <c r="AU195" s="52">
        <v>3</v>
      </c>
      <c r="AV195" s="71">
        <f>IF(AH193&lt;AI193,1,0)+IF(AJ193&lt;AK193,1,0)+IF(AL193&lt;AM193,1,0)</f>
        <v>2</v>
      </c>
      <c r="AW195" s="72">
        <f>AZ193</f>
        <v>0</v>
      </c>
      <c r="AX195" s="72">
        <f>IF(AH194&lt;AI194,1,0)+IF(AJ194&lt;AK194,1,0)+IF(AL194&lt;AM194,1,0)</f>
        <v>2</v>
      </c>
      <c r="AY195" s="72">
        <f>AZ194</f>
        <v>0</v>
      </c>
      <c r="AZ195" s="75"/>
      <c r="BA195" s="76"/>
      <c r="BD195" s="71">
        <f>AO193+AQ193+AS193+AO194+AQ194+AS194</f>
        <v>84</v>
      </c>
      <c r="BE195" s="77">
        <f>AN193+AP193+AR193+AN194+AP194+AR194</f>
        <v>42</v>
      </c>
      <c r="BF195" s="71">
        <f>AV195+AX195</f>
        <v>4</v>
      </c>
      <c r="BG195" s="77">
        <f>AW195+AY195</f>
        <v>0</v>
      </c>
      <c r="BH195" s="71">
        <f>IF(AV195&gt;AW195,1,0)+IF(AX195&gt;AY195,1,0)</f>
        <v>2</v>
      </c>
      <c r="BI195" s="78">
        <f>IF(AW195&gt;AV195,1,0)+IF(AY195&gt;AX195,1,0)</f>
        <v>0</v>
      </c>
      <c r="BJ195" s="79">
        <f>IF(BH195+BI195=0,"",IF(BK195=MAX(BK193:BK195),1,IF(BK195=MIN(BK193:BK195),3,2)))</f>
        <v>1</v>
      </c>
      <c r="BK195" s="13">
        <f>IF(BH195+BI195&lt;&gt;0,BH195-BI195+(BF195-BG195)/100+(BD195-BE195)/10000,-2)</f>
        <v>2.0442</v>
      </c>
    </row>
    <row r="196" spans="1:59" ht="11.25" customHeight="1">
      <c r="A196" s="2"/>
      <c r="J196" s="23"/>
      <c r="K196" s="23"/>
      <c r="L196" s="23"/>
      <c r="O196" s="23"/>
      <c r="P196" s="23"/>
      <c r="Q196" s="2"/>
      <c r="R196" s="2"/>
      <c r="S196" s="2"/>
      <c r="T196" s="197">
        <v>3</v>
      </c>
      <c r="U196" s="198" t="str">
        <f>IF(AND(N197&lt;&gt;"",N198&lt;&gt;""),CONCATENATE(VLOOKUP(N197,'[1]zawodnicy'!$A:$E,1,FALSE)," ",VLOOKUP(N197,'[1]zawodnicy'!$A:$E,2,FALSE)," ",VLOOKUP(N197,'[1]zawodnicy'!$A:$E,3,FALSE)," - ",VLOOKUP(N197,'[1]zawodnicy'!$A:$E,4,FALSE)),"")</f>
        <v>K0001 Marcin KALTENBERG - Tarnobrzeg</v>
      </c>
      <c r="V196" s="199"/>
      <c r="W196" s="43" t="str">
        <f>IF(SUM(AN193:AO193)=0,"",AO193&amp;":"&amp;AN193)</f>
        <v>21:12</v>
      </c>
      <c r="X196" s="80" t="str">
        <f>IF(SUM(AN194:AO194)=0,"",AO194&amp;":"&amp;AN194)</f>
        <v>21:8</v>
      </c>
      <c r="Y196" s="81"/>
      <c r="Z196" s="197" t="str">
        <f>IF(SUM(AV195:AY195)=0,"",BD195&amp;":"&amp;BE195)</f>
        <v>84:42</v>
      </c>
      <c r="AA196" s="200" t="str">
        <f>IF(SUM(AV195:AY195)=0,"",BF195&amp;":"&amp;BG195)</f>
        <v>4:0</v>
      </c>
      <c r="AB196" s="200" t="str">
        <f>IF(SUM(AV195:AY195)=0,"",BH195&amp;":"&amp;BI195)</f>
        <v>2:0</v>
      </c>
      <c r="AC196" s="201">
        <f>IF(SUM(BH193:BH195)&gt;0,BJ195,"")</f>
        <v>1</v>
      </c>
      <c r="AD196" s="2"/>
      <c r="AE196" s="22"/>
      <c r="AF196" s="22"/>
      <c r="BD196" s="12">
        <f>SUM(BD193:BD195)</f>
        <v>199</v>
      </c>
      <c r="BE196" s="12">
        <f>SUM(BE193:BE195)</f>
        <v>199</v>
      </c>
      <c r="BF196" s="12">
        <f>SUM(BF193:BF195)</f>
        <v>6</v>
      </c>
      <c r="BG196" s="12">
        <f>SUM(BG193:BG195)</f>
        <v>6</v>
      </c>
    </row>
    <row r="197" spans="1:63" ht="11.25" customHeight="1">
      <c r="A197" s="12"/>
      <c r="J197" s="12"/>
      <c r="K197" s="12"/>
      <c r="L197" s="12"/>
      <c r="N197" s="30" t="s">
        <v>63</v>
      </c>
      <c r="O197" s="31">
        <f>IF(O189&gt;0,(O189&amp;3)*1,"")</f>
        <v>23</v>
      </c>
      <c r="Q197" s="82"/>
      <c r="R197" s="82"/>
      <c r="S197" s="42"/>
      <c r="T197" s="178"/>
      <c r="U197" s="189">
        <f>IF(AND(N197&lt;&gt;"",N198=""),CONCATENATE(VLOOKUP(N197,'[1]zawodnicy'!$A:$E,1,FALSE)," ",VLOOKUP(N197,'[1]zawodnicy'!$A:$E,2,FALSE)," ",VLOOKUP(N197,'[1]zawodnicy'!$A:$E,3,FALSE)," - ",VLOOKUP(N197,'[1]zawodnicy'!$A:$E,4,FALSE)),"")</f>
      </c>
      <c r="V197" s="190"/>
      <c r="W197" s="58" t="str">
        <f>IF(SUM(AP193:AQ193)=0,"",AQ193&amp;":"&amp;AP193)</f>
        <v>21:13</v>
      </c>
      <c r="X197" s="33" t="str">
        <f>IF(SUM(AP194:AQ194)=0,"",AQ194&amp;":"&amp;AP194)</f>
        <v>21:9</v>
      </c>
      <c r="Y197" s="83"/>
      <c r="Z197" s="178"/>
      <c r="AA197" s="183"/>
      <c r="AB197" s="183"/>
      <c r="AC197" s="186"/>
      <c r="AD197" s="2"/>
      <c r="AE197" s="22"/>
      <c r="AF197" s="2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</row>
    <row r="198" spans="1:63" ht="11.25" customHeight="1" thickBot="1">
      <c r="A198" s="2"/>
      <c r="J198" s="23"/>
      <c r="K198" s="23"/>
      <c r="L198" s="23"/>
      <c r="N198" s="35" t="s">
        <v>36</v>
      </c>
      <c r="O198" s="23"/>
      <c r="P198" s="23"/>
      <c r="Q198" s="2"/>
      <c r="R198" s="2"/>
      <c r="S198" s="2"/>
      <c r="T198" s="202"/>
      <c r="U198" s="205" t="str">
        <f>IF(N198&lt;&gt;"",CONCATENATE(VLOOKUP(N198,'[1]zawodnicy'!$A:$E,1,FALSE)," ",VLOOKUP(N198,'[1]zawodnicy'!$A:$E,2,FALSE)," ",VLOOKUP(N198,'[1]zawodnicy'!$A:$E,3,FALSE)," - ",VLOOKUP(N198,'[1]zawodnicy'!$A:$E,4,FALSE)),"")</f>
        <v>M0023 Tymoteusz MALIK - Tarnobrzeg</v>
      </c>
      <c r="V198" s="206"/>
      <c r="W198" s="84">
        <f>IF(SUM(AR193:AS193)=0,"",AS193&amp;":"&amp;AR193)</f>
      </c>
      <c r="X198" s="85">
        <f>IF(SUM(AR194:AS194)=0,"",AS194&amp;":"&amp;AR194)</f>
      </c>
      <c r="Y198" s="86"/>
      <c r="Z198" s="202"/>
      <c r="AA198" s="203"/>
      <c r="AB198" s="203"/>
      <c r="AC198" s="204"/>
      <c r="AD198" s="29"/>
      <c r="AE198" s="22"/>
      <c r="AF198" s="2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</row>
    <row r="199" ht="11.25" customHeight="1" thickBot="1"/>
    <row r="200" spans="14:32" ht="11.25" customHeight="1" thickBot="1">
      <c r="N200" s="8"/>
      <c r="O200" s="14">
        <v>3</v>
      </c>
      <c r="Q200" s="171" t="str">
        <f>"Grupa "&amp;O200&amp;"."</f>
        <v>Grupa 3.</v>
      </c>
      <c r="R200" s="171"/>
      <c r="S200" s="172"/>
      <c r="T200" s="15" t="s">
        <v>2</v>
      </c>
      <c r="U200" s="173" t="s">
        <v>3</v>
      </c>
      <c r="V200" s="174"/>
      <c r="W200" s="15">
        <v>1</v>
      </c>
      <c r="X200" s="17">
        <v>2</v>
      </c>
      <c r="Y200" s="18">
        <v>3</v>
      </c>
      <c r="Z200" s="19" t="s">
        <v>4</v>
      </c>
      <c r="AA200" s="20" t="s">
        <v>5</v>
      </c>
      <c r="AB200" s="20" t="s">
        <v>6</v>
      </c>
      <c r="AC200" s="21" t="s">
        <v>7</v>
      </c>
      <c r="AD200" s="2"/>
      <c r="AE200" s="22"/>
      <c r="AF200" s="22"/>
    </row>
    <row r="201" spans="10:45" ht="11.25" customHeight="1">
      <c r="J201" s="23"/>
      <c r="K201" s="23"/>
      <c r="L201" s="23"/>
      <c r="N201" s="24" t="s">
        <v>68</v>
      </c>
      <c r="Q201" s="175" t="s">
        <v>8</v>
      </c>
      <c r="R201" s="175"/>
      <c r="S201" s="176" t="s">
        <v>9</v>
      </c>
      <c r="T201" s="177">
        <v>1</v>
      </c>
      <c r="U201" s="180" t="str">
        <f>IF(AND(N202&lt;&gt;"",N203&lt;&gt;""),CONCATENATE(VLOOKUP(N202,'[1]zawodnicy'!$A:$E,1,FALSE)," ",VLOOKUP(N202,'[1]zawodnicy'!$A:$E,2,FALSE)," ",VLOOKUP(N202,'[1]zawodnicy'!$A:$E,3,FALSE)," - ",VLOOKUP(N202,'[1]zawodnicy'!$A:$E,4,FALSE)),"")</f>
        <v>K0011 Bartłomiej KOŚMIDER - Szczucin</v>
      </c>
      <c r="V201" s="181"/>
      <c r="W201" s="25"/>
      <c r="X201" s="26" t="str">
        <f>IF(SUM(AN206:AO206)=0,"",AN206&amp;":"&amp;AO206)</f>
        <v>21:3</v>
      </c>
      <c r="Y201" s="27" t="str">
        <f>IF(SUM(AN204:AO204)=0,"",AN204&amp;":"&amp;AO204)</f>
        <v>21:18</v>
      </c>
      <c r="Z201" s="177" t="str">
        <f>IF(SUM(AX204:BA204)=0,"",BD204&amp;":"&amp;BE204)</f>
        <v>104:78</v>
      </c>
      <c r="AA201" s="182" t="str">
        <f>IF(SUM(AX204:BA204)=0,"",BF204&amp;":"&amp;BG204)</f>
        <v>3:2</v>
      </c>
      <c r="AB201" s="182" t="str">
        <f>IF(SUM(AX204:BA204)=0,"",BH204&amp;":"&amp;BI204)</f>
        <v>1:1</v>
      </c>
      <c r="AC201" s="185">
        <f>IF(SUM(BH204:BH206)&gt;0,BJ204,"")</f>
        <v>2</v>
      </c>
      <c r="AD201" s="2"/>
      <c r="AE201" s="22"/>
      <c r="AF201" s="22"/>
      <c r="AG201" s="28"/>
      <c r="AH201" s="188" t="s">
        <v>10</v>
      </c>
      <c r="AI201" s="188"/>
      <c r="AJ201" s="188"/>
      <c r="AK201" s="188"/>
      <c r="AL201" s="188"/>
      <c r="AM201" s="188"/>
      <c r="AN201" s="188" t="s">
        <v>11</v>
      </c>
      <c r="AO201" s="188"/>
      <c r="AP201" s="188"/>
      <c r="AQ201" s="188"/>
      <c r="AR201" s="188"/>
      <c r="AS201" s="188"/>
    </row>
    <row r="202" spans="9:59" ht="11.25" customHeight="1" thickBot="1">
      <c r="I202" s="2" t="str">
        <f>"1"&amp;O200&amp;N201</f>
        <v>13Podwójna</v>
      </c>
      <c r="J202" s="29" t="str">
        <f>IF(AC201="","",IF(AC201=1,N202,IF(AC204=1,N205,IF(AC207=1,N208,""))))</f>
        <v>I0002</v>
      </c>
      <c r="K202" s="29" t="str">
        <f>IF(AC201="","",IF(AC201=1,N203,IF(AC204=1,N206,IF(AC207=1,N209,""))))</f>
        <v>J0001</v>
      </c>
      <c r="L202" s="29"/>
      <c r="N202" s="30" t="s">
        <v>62</v>
      </c>
      <c r="O202" s="31">
        <f>IF(O200&gt;0,(O200&amp;1)*1,"")</f>
        <v>31</v>
      </c>
      <c r="Q202" s="175"/>
      <c r="R202" s="175"/>
      <c r="S202" s="176"/>
      <c r="T202" s="178"/>
      <c r="U202" s="189">
        <f>IF(AND(N202&lt;&gt;"",N203=""),CONCATENATE(VLOOKUP(N202,'[1]zawodnicy'!$A:$E,1,FALSE)," ",VLOOKUP(N202,'[1]zawodnicy'!$A:$E,2,FALSE)," ",VLOOKUP(N202,'[1]zawodnicy'!$A:$E,3,FALSE)," - ",VLOOKUP(N202,'[1]zawodnicy'!$A:$E,4,FALSE)),"")</f>
      </c>
      <c r="V202" s="190"/>
      <c r="W202" s="32"/>
      <c r="X202" s="33" t="str">
        <f>IF(SUM(AP206:AQ206)=0,"",AP206&amp;":"&amp;AQ206)</f>
        <v>21:12</v>
      </c>
      <c r="Y202" s="34" t="str">
        <f>IF(SUM(AP204:AQ204)=0,"",AP204&amp;":"&amp;AQ204)</f>
        <v>19:21</v>
      </c>
      <c r="Z202" s="178"/>
      <c r="AA202" s="183"/>
      <c r="AB202" s="183"/>
      <c r="AC202" s="186"/>
      <c r="AD202" s="2"/>
      <c r="AE202" s="22"/>
      <c r="AF202" s="22"/>
      <c r="AG202" s="28"/>
      <c r="BD202" s="12">
        <f>SUM(BD204:BD206)</f>
        <v>239</v>
      </c>
      <c r="BE202" s="12">
        <f>SUM(BE204:BE206)</f>
        <v>239</v>
      </c>
      <c r="BF202" s="12">
        <f>SUM(BF204:BF206)</f>
        <v>7</v>
      </c>
      <c r="BG202" s="12">
        <f>SUM(BG204:BG206)</f>
        <v>7</v>
      </c>
    </row>
    <row r="203" spans="10:63" ht="11.25" customHeight="1" thickBot="1">
      <c r="J203" s="29"/>
      <c r="K203" s="23"/>
      <c r="L203" s="23"/>
      <c r="N203" s="35" t="s">
        <v>65</v>
      </c>
      <c r="O203" s="23"/>
      <c r="P203" s="23"/>
      <c r="Q203" s="175"/>
      <c r="R203" s="175"/>
      <c r="S203" s="176"/>
      <c r="T203" s="179"/>
      <c r="U203" s="191" t="str">
        <f>IF(N203&lt;&gt;"",CONCATENATE(VLOOKUP(N203,'[1]zawodnicy'!$A:$E,1,FALSE)," ",VLOOKUP(N203,'[1]zawodnicy'!$A:$E,2,FALSE)," ",VLOOKUP(N203,'[1]zawodnicy'!$A:$E,3,FALSE)," - ",VLOOKUP(N203,'[1]zawodnicy'!$A:$E,4,FALSE)),"")</f>
        <v>S0030 Karol SZYMURA - Szczucin</v>
      </c>
      <c r="V203" s="192"/>
      <c r="W203" s="32"/>
      <c r="X203" s="36">
        <f>IF(SUM(AR206:AS206)=0,"",AR206&amp;":"&amp;AS206)</f>
      </c>
      <c r="Y203" s="37" t="str">
        <f>IF(SUM(AR204:AS204)=0,"",AR204&amp;":"&amp;AS204)</f>
        <v>22:24</v>
      </c>
      <c r="Z203" s="179"/>
      <c r="AA203" s="184"/>
      <c r="AB203" s="184"/>
      <c r="AC203" s="187"/>
      <c r="AD203" s="2"/>
      <c r="AE203" s="22"/>
      <c r="AF203" s="22"/>
      <c r="AG203" s="28"/>
      <c r="AH203" s="193" t="s">
        <v>13</v>
      </c>
      <c r="AI203" s="194"/>
      <c r="AJ203" s="195" t="s">
        <v>14</v>
      </c>
      <c r="AK203" s="194"/>
      <c r="AL203" s="195" t="s">
        <v>15</v>
      </c>
      <c r="AM203" s="196"/>
      <c r="AN203" s="193" t="s">
        <v>13</v>
      </c>
      <c r="AO203" s="194"/>
      <c r="AP203" s="195" t="s">
        <v>14</v>
      </c>
      <c r="AQ203" s="194"/>
      <c r="AR203" s="195" t="s">
        <v>15</v>
      </c>
      <c r="AS203" s="194"/>
      <c r="AT203" s="22"/>
      <c r="AU203" s="22"/>
      <c r="AV203" s="193">
        <v>1</v>
      </c>
      <c r="AW203" s="194"/>
      <c r="AX203" s="195">
        <v>2</v>
      </c>
      <c r="AY203" s="194"/>
      <c r="AZ203" s="195">
        <v>3</v>
      </c>
      <c r="BA203" s="196"/>
      <c r="BD203" s="193" t="s">
        <v>4</v>
      </c>
      <c r="BE203" s="196"/>
      <c r="BF203" s="193" t="s">
        <v>5</v>
      </c>
      <c r="BG203" s="196"/>
      <c r="BH203" s="193" t="s">
        <v>6</v>
      </c>
      <c r="BI203" s="196"/>
      <c r="BJ203" s="38" t="s">
        <v>7</v>
      </c>
      <c r="BK203" s="13">
        <f>SUM(BK204:BK206)</f>
        <v>0</v>
      </c>
    </row>
    <row r="204" spans="1:63" ht="11.25" customHeight="1">
      <c r="A204" s="12">
        <f>S204</f>
        <v>47</v>
      </c>
      <c r="B204" s="2" t="str">
        <f>IF(N202="","",N202)</f>
        <v>K0011</v>
      </c>
      <c r="C204" s="2" t="str">
        <f>IF(N203="","",N203)</f>
        <v>S0030</v>
      </c>
      <c r="D204" s="2" t="str">
        <f>IF(N208="","",N208)</f>
        <v>I0002</v>
      </c>
      <c r="E204" s="2" t="str">
        <f>IF(N209="","",N209)</f>
        <v>J0001</v>
      </c>
      <c r="I204" s="2" t="str">
        <f>"2"&amp;O200&amp;N201</f>
        <v>23Podwójna</v>
      </c>
      <c r="J204" s="29" t="str">
        <f>IF(AC204="","",IF(AC201=2,N202,IF(AC204=2,N205,IF(AC207=2,N208,""))))</f>
        <v>K0011</v>
      </c>
      <c r="K204" s="29" t="str">
        <f>IF(AC204="","",IF(AC201=2,N203,IF(AC204=2,N206,IF(AC207=2,N209,""))))</f>
        <v>S0030</v>
      </c>
      <c r="M204" s="39" t="str">
        <f>N201</f>
        <v>Podwójna</v>
      </c>
      <c r="O204" s="23"/>
      <c r="P204" s="23"/>
      <c r="Q204" s="40">
        <f>IF(AT204&gt;0,"",IF(A204=0,"",IF(VLOOKUP(A204,'[1]plan gier'!A:S,19,FALSE)="","",VLOOKUP(A204,'[1]plan gier'!A:S,19,FALSE))))</f>
      </c>
      <c r="R204" s="41" t="s">
        <v>16</v>
      </c>
      <c r="S204" s="42">
        <v>47</v>
      </c>
      <c r="T204" s="197">
        <v>2</v>
      </c>
      <c r="U204" s="198" t="str">
        <f>IF(AND(N205&lt;&gt;"",N206&lt;&gt;""),CONCATENATE(VLOOKUP(N205,'[1]zawodnicy'!$A:$E,1,FALSE)," ",VLOOKUP(N205,'[1]zawodnicy'!$A:$E,2,FALSE)," ",VLOOKUP(N205,'[1]zawodnicy'!$A:$E,3,FALSE)," - ",VLOOKUP(N205,'[1]zawodnicy'!$A:$E,4,FALSE)),"")</f>
        <v>M0026 Wojciech MACHAJ - Mielec</v>
      </c>
      <c r="V204" s="199"/>
      <c r="W204" s="43" t="str">
        <f>IF(SUM(AN206:AO206)=0,"",AO206&amp;":"&amp;AN206)</f>
        <v>3:21</v>
      </c>
      <c r="X204" s="44"/>
      <c r="Y204" s="45" t="str">
        <f>IF(SUM(AN205:AO205)=0,"",AN205&amp;":"&amp;AO205)</f>
        <v>10:21</v>
      </c>
      <c r="Z204" s="197" t="str">
        <f>IF(SUM(AV205:AW205,AZ205:BA205)=0,"",BD205&amp;":"&amp;BE205)</f>
        <v>30:84</v>
      </c>
      <c r="AA204" s="200" t="str">
        <f>IF(SUM(AV205:AW205,AZ205:BA205)=0,"",BF205&amp;":"&amp;BG205)</f>
        <v>0:4</v>
      </c>
      <c r="AB204" s="200" t="str">
        <f>IF(SUM(AV205:AW205,AZ205:BA205)=0,"",BH205&amp;":"&amp;BI205)</f>
        <v>0:2</v>
      </c>
      <c r="AC204" s="201">
        <f>IF(SUM(BH204:BH206)&gt;0,BJ205,"")</f>
        <v>3</v>
      </c>
      <c r="AD204" s="2"/>
      <c r="AE204" s="22"/>
      <c r="AF204" s="22"/>
      <c r="AG204" s="41" t="s">
        <v>16</v>
      </c>
      <c r="AH204" s="46">
        <f>IF(ISBLANK(S204),"",VLOOKUP(S204,'[1]plan gier'!$X:$AN,12,FALSE))</f>
        <v>21</v>
      </c>
      <c r="AI204" s="47">
        <f>IF(ISBLANK(S204),"",VLOOKUP(S204,'[1]plan gier'!$X:$AN,13,FALSE))</f>
        <v>18</v>
      </c>
      <c r="AJ204" s="47">
        <f>IF(ISBLANK(S204),"",VLOOKUP(S204,'[1]plan gier'!$X:$AN,14,FALSE))</f>
        <v>19</v>
      </c>
      <c r="AK204" s="47">
        <f>IF(ISBLANK(S204),"",VLOOKUP(S204,'[1]plan gier'!$X:$AN,15,FALSE))</f>
        <v>21</v>
      </c>
      <c r="AL204" s="47">
        <f>IF(ISBLANK(S204),"",VLOOKUP(S204,'[1]plan gier'!$X:$AN,16,FALSE))</f>
        <v>22</v>
      </c>
      <c r="AM204" s="47">
        <f>IF(ISBLANK(S204),"",VLOOKUP(S204,'[1]plan gier'!$X:$AN,17,FALSE))</f>
        <v>24</v>
      </c>
      <c r="AN204" s="48">
        <f aca="true" t="shared" si="17" ref="AN204:AS206">IF(AH204="",0,AH204)</f>
        <v>21</v>
      </c>
      <c r="AO204" s="49">
        <f t="shared" si="17"/>
        <v>18</v>
      </c>
      <c r="AP204" s="50">
        <f t="shared" si="17"/>
        <v>19</v>
      </c>
      <c r="AQ204" s="49">
        <f t="shared" si="17"/>
        <v>21</v>
      </c>
      <c r="AR204" s="50">
        <f t="shared" si="17"/>
        <v>22</v>
      </c>
      <c r="AS204" s="49">
        <f t="shared" si="17"/>
        <v>24</v>
      </c>
      <c r="AT204" s="51">
        <f>SUM(AN204:AS204)</f>
        <v>125</v>
      </c>
      <c r="AU204" s="52">
        <v>1</v>
      </c>
      <c r="AV204" s="53"/>
      <c r="AW204" s="54"/>
      <c r="AX204" s="47">
        <f>IF(AH206&gt;AI206,1,0)+IF(AJ206&gt;AK206,1,0)+IF(AL206&gt;AM206,1,0)</f>
        <v>2</v>
      </c>
      <c r="AY204" s="47">
        <f>AV205</f>
        <v>0</v>
      </c>
      <c r="AZ204" s="47">
        <f>IF(AH204&gt;AI204,1,0)+IF(AJ204&gt;AK204,1,0)+IF(AL204&gt;AM204,1,0)</f>
        <v>1</v>
      </c>
      <c r="BA204" s="55">
        <f>AV206</f>
        <v>2</v>
      </c>
      <c r="BD204" s="46">
        <f>AN204+AP204+AR204+AN206+AP206+AR206</f>
        <v>104</v>
      </c>
      <c r="BE204" s="55">
        <f>AO204+AQ204+AS204+AO206+AQ206+AS206</f>
        <v>78</v>
      </c>
      <c r="BF204" s="46">
        <f>AX204+AZ204</f>
        <v>3</v>
      </c>
      <c r="BG204" s="55">
        <f>AY204+BA204</f>
        <v>2</v>
      </c>
      <c r="BH204" s="46">
        <f>IF(AX204&gt;AY204,1,0)+IF(AZ204&gt;BA204,1,0)</f>
        <v>1</v>
      </c>
      <c r="BI204" s="56">
        <f>IF(AY204&gt;AX204,1,0)+IF(BA204&gt;AZ204,1,0)</f>
        <v>1</v>
      </c>
      <c r="BJ204" s="57">
        <f>IF(BH204+BI204=0,"",IF(BK204=MAX(BK204:BK206),1,IF(BK204=MIN(BK204:BK206),3,2)))</f>
        <v>2</v>
      </c>
      <c r="BK204" s="13">
        <f>IF(BH204+BI204&lt;&gt;0,BH204-BI204+(BF204-BG204)/100+(BD204-BE204)/10000,-2)</f>
        <v>0.0126</v>
      </c>
    </row>
    <row r="205" spans="1:63" ht="11.25" customHeight="1">
      <c r="A205" s="12">
        <f>S205</f>
        <v>50</v>
      </c>
      <c r="B205" s="2" t="str">
        <f>IF(N205="","",N205)</f>
        <v>M0026</v>
      </c>
      <c r="C205" s="2" t="str">
        <f>IF(N206="","",N206)</f>
        <v>S0029</v>
      </c>
      <c r="D205" s="2" t="str">
        <f>IF(N208="","",N208)</f>
        <v>I0002</v>
      </c>
      <c r="E205" s="2" t="str">
        <f>IF(N209="","",N209)</f>
        <v>J0001</v>
      </c>
      <c r="J205" s="29"/>
      <c r="K205" s="12"/>
      <c r="M205" s="39" t="str">
        <f>N201</f>
        <v>Podwójna</v>
      </c>
      <c r="N205" s="30" t="s">
        <v>35</v>
      </c>
      <c r="O205" s="31">
        <f>IF(O200&gt;0,(O200&amp;2)*1,"")</f>
        <v>32</v>
      </c>
      <c r="Q205" s="40">
        <f>IF(AT205&gt;0,"",IF(A205=0,"",IF(VLOOKUP(A205,'[1]plan gier'!A:S,19,FALSE)="","",VLOOKUP(A205,'[1]plan gier'!A:S,19,FALSE))))</f>
      </c>
      <c r="R205" s="41" t="s">
        <v>18</v>
      </c>
      <c r="S205" s="42">
        <v>50</v>
      </c>
      <c r="T205" s="178"/>
      <c r="U205" s="189">
        <f>IF(AND(N205&lt;&gt;"",N206=""),CONCATENATE(VLOOKUP(N205,'[1]zawodnicy'!$A:$E,1,FALSE)," ",VLOOKUP(N205,'[1]zawodnicy'!$A:$E,2,FALSE)," ",VLOOKUP(N205,'[1]zawodnicy'!$A:$E,3,FALSE)," - ",VLOOKUP(N205,'[1]zawodnicy'!$A:$E,4,FALSE)),"")</f>
      </c>
      <c r="V205" s="190"/>
      <c r="W205" s="58" t="str">
        <f>IF(SUM(AP206:AQ206)=0,"",AQ206&amp;":"&amp;AP206)</f>
        <v>12:21</v>
      </c>
      <c r="X205" s="59"/>
      <c r="Y205" s="34" t="str">
        <f>IF(SUM(AP205:AQ205)=0,"",AP205&amp;":"&amp;AQ205)</f>
        <v>5:21</v>
      </c>
      <c r="Z205" s="178"/>
      <c r="AA205" s="183"/>
      <c r="AB205" s="183"/>
      <c r="AC205" s="186"/>
      <c r="AD205" s="2"/>
      <c r="AE205" s="22"/>
      <c r="AF205" s="22"/>
      <c r="AG205" s="41" t="s">
        <v>18</v>
      </c>
      <c r="AH205" s="60">
        <f>IF(ISBLANK(S205),"",VLOOKUP(S205,'[1]plan gier'!$X:$AN,12,FALSE))</f>
        <v>10</v>
      </c>
      <c r="AI205" s="61">
        <f>IF(ISBLANK(S205),"",VLOOKUP(S205,'[1]plan gier'!$X:$AN,13,FALSE))</f>
        <v>21</v>
      </c>
      <c r="AJ205" s="61">
        <f>IF(ISBLANK(S205),"",VLOOKUP(S205,'[1]plan gier'!$X:$AN,14,FALSE))</f>
        <v>5</v>
      </c>
      <c r="AK205" s="61">
        <f>IF(ISBLANK(S205),"",VLOOKUP(S205,'[1]plan gier'!$X:$AN,15,FALSE))</f>
        <v>21</v>
      </c>
      <c r="AL205" s="61">
        <f>IF(ISBLANK(S205),"",VLOOKUP(S205,'[1]plan gier'!$X:$AN,16,FALSE))</f>
        <v>0</v>
      </c>
      <c r="AM205" s="61">
        <f>IF(ISBLANK(S205),"",VLOOKUP(S205,'[1]plan gier'!$X:$AN,17,FALSE))</f>
        <v>0</v>
      </c>
      <c r="AN205" s="62">
        <f t="shared" si="17"/>
        <v>10</v>
      </c>
      <c r="AO205" s="61">
        <f t="shared" si="17"/>
        <v>21</v>
      </c>
      <c r="AP205" s="63">
        <f t="shared" si="17"/>
        <v>5</v>
      </c>
      <c r="AQ205" s="61">
        <f t="shared" si="17"/>
        <v>21</v>
      </c>
      <c r="AR205" s="63">
        <f t="shared" si="17"/>
        <v>0</v>
      </c>
      <c r="AS205" s="61">
        <f t="shared" si="17"/>
        <v>0</v>
      </c>
      <c r="AT205" s="51">
        <f>SUM(AN205:AS205)</f>
        <v>57</v>
      </c>
      <c r="AU205" s="52">
        <v>2</v>
      </c>
      <c r="AV205" s="60">
        <f>IF(AH206&lt;AI206,1,0)+IF(AJ206&lt;AK206,1,0)+IF(AL206&lt;AM206,1,0)</f>
        <v>0</v>
      </c>
      <c r="AW205" s="61">
        <f>AX204</f>
        <v>2</v>
      </c>
      <c r="AX205" s="64"/>
      <c r="AY205" s="65"/>
      <c r="AZ205" s="61">
        <f>IF(AH205&gt;AI205,1,0)+IF(AJ205&gt;AK205,1,0)+IF(AL205&gt;AM205,1,0)</f>
        <v>0</v>
      </c>
      <c r="BA205" s="66">
        <f>AX206</f>
        <v>2</v>
      </c>
      <c r="BD205" s="60">
        <f>AN205+AP205+AR205+AO206+AQ206+AS206</f>
        <v>30</v>
      </c>
      <c r="BE205" s="66">
        <f>AO205+AQ205+AS205+AN206+AP206+AR206</f>
        <v>84</v>
      </c>
      <c r="BF205" s="60">
        <f>AV205+AZ205</f>
        <v>0</v>
      </c>
      <c r="BG205" s="66">
        <f>AW205+BA205</f>
        <v>4</v>
      </c>
      <c r="BH205" s="60">
        <f>IF(AV205&gt;AW205,1,0)+IF(AZ205&gt;BA205,1,0)</f>
        <v>0</v>
      </c>
      <c r="BI205" s="67">
        <f>IF(AW205&gt;AV205,1,0)+IF(BA205&gt;AZ205,1,0)</f>
        <v>2</v>
      </c>
      <c r="BJ205" s="68">
        <f>IF(BH205+BI205=0,"",IF(BK205=MAX(BK204:BK206),1,IF(BK205=MIN(BK204:BK206),3,2)))</f>
        <v>3</v>
      </c>
      <c r="BK205" s="13">
        <f>IF(BH205+BI205&lt;&gt;0,BH205-BI205+(BF205-BG205)/100+(BD205-BE205)/10000,-2)</f>
        <v>-2.0454</v>
      </c>
    </row>
    <row r="206" spans="1:63" ht="11.25" customHeight="1" thickBot="1">
      <c r="A206" s="12">
        <f>S206</f>
        <v>53</v>
      </c>
      <c r="B206" s="2" t="str">
        <f>IF(N202="","",N202)</f>
        <v>K0011</v>
      </c>
      <c r="C206" s="2" t="str">
        <f>IF(N203="","",N203)</f>
        <v>S0030</v>
      </c>
      <c r="D206" s="2" t="str">
        <f>IF(N205="","",N205)</f>
        <v>M0026</v>
      </c>
      <c r="E206" s="2" t="str">
        <f>IF(N206="","",N206)</f>
        <v>S0029</v>
      </c>
      <c r="I206" s="2" t="str">
        <f>"3"&amp;O200&amp;N201</f>
        <v>33Podwójna</v>
      </c>
      <c r="J206" s="29" t="str">
        <f>IF(AC207="","",IF(AC201=3,N202,IF(AC204=3,N205,IF(AC207=3,N208,""))))</f>
        <v>M0026</v>
      </c>
      <c r="K206" s="29" t="str">
        <f>IF(AC207="","",IF(AC201=3,N203,IF(AC204=3,N206,IF(AC207=3,N209,""))))</f>
        <v>S0029</v>
      </c>
      <c r="M206" s="39" t="str">
        <f>N201</f>
        <v>Podwójna</v>
      </c>
      <c r="N206" s="35" t="s">
        <v>21</v>
      </c>
      <c r="O206" s="23"/>
      <c r="P206" s="23"/>
      <c r="Q206" s="40">
        <f>IF(AT206&gt;0,"",IF(A206=0,"",IF(VLOOKUP(A206,'[1]plan gier'!A:S,19,FALSE)="","",VLOOKUP(A206,'[1]plan gier'!A:S,19,FALSE))))</f>
      </c>
      <c r="R206" s="69" t="s">
        <v>19</v>
      </c>
      <c r="S206" s="42">
        <v>53</v>
      </c>
      <c r="T206" s="179"/>
      <c r="U206" s="191" t="str">
        <f>IF(N206&lt;&gt;"",CONCATENATE(VLOOKUP(N206,'[1]zawodnicy'!$A:$E,1,FALSE)," ",VLOOKUP(N206,'[1]zawodnicy'!$A:$E,2,FALSE)," ",VLOOKUP(N206,'[1]zawodnicy'!$A:$E,3,FALSE)," - ",VLOOKUP(N206,'[1]zawodnicy'!$A:$E,4,FALSE)),"")</f>
        <v>S0029 Patryk STOLARZ - Mielec</v>
      </c>
      <c r="V206" s="192"/>
      <c r="W206" s="70">
        <f>IF(SUM(AR206:AS206)=0,"",AS206&amp;":"&amp;AR206)</f>
      </c>
      <c r="X206" s="59"/>
      <c r="Y206" s="37">
        <f>IF(SUM(AR205:AS205)=0,"",AR205&amp;":"&amp;AS205)</f>
      </c>
      <c r="Z206" s="179"/>
      <c r="AA206" s="184"/>
      <c r="AB206" s="184"/>
      <c r="AC206" s="187"/>
      <c r="AD206" s="2"/>
      <c r="AE206" s="22"/>
      <c r="AF206" s="22"/>
      <c r="AG206" s="69" t="s">
        <v>19</v>
      </c>
      <c r="AH206" s="71">
        <f>IF(ISBLANK(S206),"",VLOOKUP(S206,'[1]plan gier'!$X:$AN,12,FALSE))</f>
        <v>21</v>
      </c>
      <c r="AI206" s="72">
        <f>IF(ISBLANK(S206),"",VLOOKUP(S206,'[1]plan gier'!$X:$AN,13,FALSE))</f>
        <v>3</v>
      </c>
      <c r="AJ206" s="72">
        <f>IF(ISBLANK(S206),"",VLOOKUP(S206,'[1]plan gier'!$X:$AN,14,FALSE))</f>
        <v>21</v>
      </c>
      <c r="AK206" s="72">
        <f>IF(ISBLANK(S206),"",VLOOKUP(S206,'[1]plan gier'!$X:$AN,15,FALSE))</f>
        <v>12</v>
      </c>
      <c r="AL206" s="72">
        <f>IF(ISBLANK(S206),"",VLOOKUP(S206,'[1]plan gier'!$X:$AN,16,FALSE))</f>
        <v>0</v>
      </c>
      <c r="AM206" s="72">
        <f>IF(ISBLANK(S206),"",VLOOKUP(S206,'[1]plan gier'!$X:$AN,17,FALSE))</f>
        <v>0</v>
      </c>
      <c r="AN206" s="73">
        <f t="shared" si="17"/>
        <v>21</v>
      </c>
      <c r="AO206" s="72">
        <f t="shared" si="17"/>
        <v>3</v>
      </c>
      <c r="AP206" s="74">
        <f t="shared" si="17"/>
        <v>21</v>
      </c>
      <c r="AQ206" s="72">
        <f t="shared" si="17"/>
        <v>12</v>
      </c>
      <c r="AR206" s="74">
        <f t="shared" si="17"/>
        <v>0</v>
      </c>
      <c r="AS206" s="72">
        <f t="shared" si="17"/>
        <v>0</v>
      </c>
      <c r="AT206" s="51">
        <f>SUM(AN206:AS206)</f>
        <v>57</v>
      </c>
      <c r="AU206" s="52">
        <v>3</v>
      </c>
      <c r="AV206" s="71">
        <f>IF(AH204&lt;AI204,1,0)+IF(AJ204&lt;AK204,1,0)+IF(AL204&lt;AM204,1,0)</f>
        <v>2</v>
      </c>
      <c r="AW206" s="72">
        <f>AZ204</f>
        <v>1</v>
      </c>
      <c r="AX206" s="72">
        <f>IF(AH205&lt;AI205,1,0)+IF(AJ205&lt;AK205,1,0)+IF(AL205&lt;AM205,1,0)</f>
        <v>2</v>
      </c>
      <c r="AY206" s="72">
        <f>AZ205</f>
        <v>0</v>
      </c>
      <c r="AZ206" s="75"/>
      <c r="BA206" s="76"/>
      <c r="BD206" s="71">
        <f>AO204+AQ204+AS204+AO205+AQ205+AS205</f>
        <v>105</v>
      </c>
      <c r="BE206" s="77">
        <f>AN204+AP204+AR204+AN205+AP205+AR205</f>
        <v>77</v>
      </c>
      <c r="BF206" s="71">
        <f>AV206+AX206</f>
        <v>4</v>
      </c>
      <c r="BG206" s="77">
        <f>AW206+AY206</f>
        <v>1</v>
      </c>
      <c r="BH206" s="71">
        <f>IF(AV206&gt;AW206,1,0)+IF(AX206&gt;AY206,1,0)</f>
        <v>2</v>
      </c>
      <c r="BI206" s="78">
        <f>IF(AW206&gt;AV206,1,0)+IF(AY206&gt;AX206,1,0)</f>
        <v>0</v>
      </c>
      <c r="BJ206" s="79">
        <f>IF(BH206+BI206=0,"",IF(BK206=MAX(BK204:BK206),1,IF(BK206=MIN(BK204:BK206),3,2)))</f>
        <v>1</v>
      </c>
      <c r="BK206" s="13">
        <f>IF(BH206+BI206&lt;&gt;0,BH206-BI206+(BF206-BG206)/100+(BD206-BE206)/10000,-2)</f>
        <v>2.0328</v>
      </c>
    </row>
    <row r="207" spans="1:59" ht="11.25" customHeight="1">
      <c r="A207" s="2"/>
      <c r="J207" s="23"/>
      <c r="K207" s="23"/>
      <c r="L207" s="23"/>
      <c r="O207" s="23"/>
      <c r="P207" s="23"/>
      <c r="Q207" s="2"/>
      <c r="R207" s="2"/>
      <c r="S207" s="2"/>
      <c r="T207" s="197">
        <v>3</v>
      </c>
      <c r="U207" s="198" t="str">
        <f>IF(AND(N208&lt;&gt;"",N209&lt;&gt;""),CONCATENATE(VLOOKUP(N208,'[1]zawodnicy'!$A:$E,1,FALSE)," ",VLOOKUP(N208,'[1]zawodnicy'!$A:$E,2,FALSE)," ",VLOOKUP(N208,'[1]zawodnicy'!$A:$E,3,FALSE)," - ",VLOOKUP(N208,'[1]zawodnicy'!$A:$E,4,FALSE)),"")</f>
        <v>I0002 Igor IWAŃSKI - Mielec</v>
      </c>
      <c r="V207" s="199"/>
      <c r="W207" s="43" t="str">
        <f>IF(SUM(AN204:AO204)=0,"",AO204&amp;":"&amp;AN204)</f>
        <v>18:21</v>
      </c>
      <c r="X207" s="80" t="str">
        <f>IF(SUM(AN205:AO205)=0,"",AO205&amp;":"&amp;AN205)</f>
        <v>21:10</v>
      </c>
      <c r="Y207" s="81"/>
      <c r="Z207" s="197" t="str">
        <f>IF(SUM(AV206:AY206)=0,"",BD206&amp;":"&amp;BE206)</f>
        <v>105:77</v>
      </c>
      <c r="AA207" s="200" t="str">
        <f>IF(SUM(AV206:AY206)=0,"",BF206&amp;":"&amp;BG206)</f>
        <v>4:1</v>
      </c>
      <c r="AB207" s="200" t="str">
        <f>IF(SUM(AV206:AY206)=0,"",BH206&amp;":"&amp;BI206)</f>
        <v>2:0</v>
      </c>
      <c r="AC207" s="201">
        <f>IF(SUM(BH204:BH206)&gt;0,BJ206,"")</f>
        <v>1</v>
      </c>
      <c r="AD207" s="2"/>
      <c r="AE207" s="22"/>
      <c r="AF207" s="22"/>
      <c r="BD207" s="12">
        <f>SUM(BD204:BD206)</f>
        <v>239</v>
      </c>
      <c r="BE207" s="12">
        <f>SUM(BE204:BE206)</f>
        <v>239</v>
      </c>
      <c r="BF207" s="12">
        <f>SUM(BF204:BF206)</f>
        <v>7</v>
      </c>
      <c r="BG207" s="12">
        <f>SUM(BG204:BG206)</f>
        <v>7</v>
      </c>
    </row>
    <row r="208" spans="1:63" ht="11.25" customHeight="1">
      <c r="A208" s="12"/>
      <c r="J208" s="12"/>
      <c r="K208" s="12"/>
      <c r="L208" s="12"/>
      <c r="N208" s="30" t="s">
        <v>64</v>
      </c>
      <c r="O208" s="31">
        <f>IF(O200&gt;0,(O200&amp;3)*1,"")</f>
        <v>33</v>
      </c>
      <c r="Q208" s="82"/>
      <c r="R208" s="82"/>
      <c r="S208" s="42"/>
      <c r="T208" s="178"/>
      <c r="U208" s="189">
        <f>IF(AND(N208&lt;&gt;"",N209=""),CONCATENATE(VLOOKUP(N208,'[1]zawodnicy'!$A:$E,1,FALSE)," ",VLOOKUP(N208,'[1]zawodnicy'!$A:$E,2,FALSE)," ",VLOOKUP(N208,'[1]zawodnicy'!$A:$E,3,FALSE)," - ",VLOOKUP(N208,'[1]zawodnicy'!$A:$E,4,FALSE)),"")</f>
      </c>
      <c r="V208" s="190"/>
      <c r="W208" s="58" t="str">
        <f>IF(SUM(AP204:AQ204)=0,"",AQ204&amp;":"&amp;AP204)</f>
        <v>21:19</v>
      </c>
      <c r="X208" s="33" t="str">
        <f>IF(SUM(AP205:AQ205)=0,"",AQ205&amp;":"&amp;AP205)</f>
        <v>21:5</v>
      </c>
      <c r="Y208" s="83"/>
      <c r="Z208" s="178"/>
      <c r="AA208" s="183"/>
      <c r="AB208" s="183"/>
      <c r="AC208" s="186"/>
      <c r="AD208" s="2"/>
      <c r="AE208" s="22"/>
      <c r="AF208" s="2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</row>
    <row r="209" spans="1:63" ht="11.25" customHeight="1" thickBot="1">
      <c r="A209" s="2"/>
      <c r="J209" s="23"/>
      <c r="K209" s="23"/>
      <c r="L209" s="23"/>
      <c r="N209" s="35" t="s">
        <v>66</v>
      </c>
      <c r="O209" s="23"/>
      <c r="P209" s="23"/>
      <c r="Q209" s="2"/>
      <c r="R209" s="2"/>
      <c r="S209" s="2"/>
      <c r="T209" s="202"/>
      <c r="U209" s="205" t="str">
        <f>IF(N209&lt;&gt;"",CONCATENATE(VLOOKUP(N209,'[1]zawodnicy'!$A:$E,1,FALSE)," ",VLOOKUP(N209,'[1]zawodnicy'!$A:$E,2,FALSE)," ",VLOOKUP(N209,'[1]zawodnicy'!$A:$E,3,FALSE)," - ",VLOOKUP(N209,'[1]zawodnicy'!$A:$E,4,FALSE)),"")</f>
        <v>J0001 Mateusz JĘDRZEJKO - Rzeszów</v>
      </c>
      <c r="V209" s="206"/>
      <c r="W209" s="84" t="str">
        <f>IF(SUM(AR204:AS204)=0,"",AS204&amp;":"&amp;AR204)</f>
        <v>24:22</v>
      </c>
      <c r="X209" s="85">
        <f>IF(SUM(AR205:AS205)=0,"",AS205&amp;":"&amp;AR205)</f>
      </c>
      <c r="Y209" s="86"/>
      <c r="Z209" s="202"/>
      <c r="AA209" s="203"/>
      <c r="AB209" s="203"/>
      <c r="AC209" s="204"/>
      <c r="AD209" s="29"/>
      <c r="AE209" s="22"/>
      <c r="AF209" s="2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</row>
    <row r="210" ht="11.25" customHeight="1"/>
    <row r="211" ht="11.25" customHeight="1"/>
    <row r="212" spans="10:63" ht="11.25" customHeight="1">
      <c r="J212" s="2"/>
      <c r="K212" s="2"/>
      <c r="L212" s="2"/>
      <c r="M212" s="142"/>
      <c r="N212" s="151">
        <v>1</v>
      </c>
      <c r="O212" s="152">
        <v>3</v>
      </c>
      <c r="P212" s="119"/>
      <c r="Q212" s="1"/>
      <c r="R212" s="1"/>
      <c r="S212" s="234"/>
      <c r="T212" s="234"/>
      <c r="U212" s="234"/>
      <c r="V212" s="234"/>
      <c r="W212" s="234"/>
      <c r="X212" s="234"/>
      <c r="Y212" s="234"/>
      <c r="Z212" s="234"/>
      <c r="AA212" s="234"/>
      <c r="AB212" s="234"/>
      <c r="AC212" s="129"/>
      <c r="AD212" s="129"/>
      <c r="AE212" s="129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</row>
    <row r="213" spans="10:63" ht="11.25" customHeight="1">
      <c r="J213" s="2"/>
      <c r="K213" s="2"/>
      <c r="L213" s="2"/>
      <c r="N213" s="148" t="s">
        <v>68</v>
      </c>
      <c r="P213" s="119"/>
      <c r="Q213" s="1"/>
      <c r="R213" s="1"/>
      <c r="S213" s="1"/>
      <c r="T213" s="1"/>
      <c r="U213" s="121"/>
      <c r="V213" s="121"/>
      <c r="W213" s="121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</row>
    <row r="214" spans="10:63" ht="11.25" customHeight="1">
      <c r="J214" s="2"/>
      <c r="K214" s="2"/>
      <c r="L214" s="2"/>
      <c r="M214" s="142"/>
      <c r="N214" s="153"/>
      <c r="O214" s="154">
        <f>IF(P214="","",1)</f>
        <v>1</v>
      </c>
      <c r="P214" s="155">
        <f>IF(O212&gt;2,1,"")</f>
        <v>1</v>
      </c>
      <c r="Q214" s="128">
        <f>O214</f>
        <v>1</v>
      </c>
      <c r="R214" s="128"/>
      <c r="S214" s="221" t="str">
        <f>UPPER(IF(O214="","",IF(ISTEXT(N214),N214,IF(AND(N212&gt;0,O214&gt;0),VLOOKUP(N212&amp;O214&amp;N213,I:K,2,FALSE),""))))</f>
        <v>B0009</v>
      </c>
      <c r="T214" s="222"/>
      <c r="U214" s="156" t="str">
        <f>IF(S214&lt;&gt;"",CONCATENATE(VLOOKUP(S214,'[1]zawodnicy'!$A:$E,2,FALSE)," ",VLOOKUP(S214,'[1]zawodnicy'!$A:$E,3,FALSE)," - ",VLOOKUP(S214,'[1]zawodnicy'!$A:$E,4,FALSE)),"")</f>
        <v>Adam BUNIO - Nowa Dęba</v>
      </c>
      <c r="V214" s="157"/>
      <c r="W214" s="233" t="str">
        <f>IF(ISBLANK(V215),IF(AND(LEN(S214)&gt;0,LEN(S216)=0),VLOOKUP(S214,'[1]zawodnicy'!$A:$E,3,FALSE),IF(AND(LEN(S216)&gt;0,LEN(S214)=0),VLOOKUP(S216,'[1]zawodnicy'!$A:$E,3,FALSE),"")),IF((VLOOKUP(V215,'[1]plan gier'!$X:$AF,7,FALSE))="","",VLOOKUP(VLOOKUP(V215,'[1]plan gier'!$X:$AF,7,FALSE),'[1]zawodnicy'!$A:$E,3,FALSE)))</f>
        <v>BUNIO</v>
      </c>
      <c r="X214" s="234"/>
      <c r="Y214" s="234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</row>
    <row r="215" spans="1:63" ht="11.25" customHeight="1">
      <c r="A215" s="122">
        <f>V215</f>
        <v>0</v>
      </c>
      <c r="B215" s="2" t="str">
        <f>IF(TYPE(S214)=16,"",S214)</f>
        <v>B0009</v>
      </c>
      <c r="C215" s="2" t="str">
        <f>IF(TYPE(S215)=16,"",S215)</f>
        <v>K0033</v>
      </c>
      <c r="D215" s="2">
        <f>IF(TYPE(S216)=16,"",S216)</f>
      </c>
      <c r="E215" s="2">
        <f>IF(TYPE(S217)=16,"",S217)</f>
      </c>
      <c r="F215" s="2" t="str">
        <f>IF(A215=0,IF(AND(LEN(B215)&gt;1,LEN(D215)=0),VLOOKUP(B215,'[1]zawodnicy'!$A:$E,1,FALSE),IF(AND(LEN(D215)&gt;1,LEN(B215)=0),VLOOKUP(D215,'[1]zawodnicy'!$A:$E,1,FALSE),"")),IF((VLOOKUP(A215,'[1]plan gier'!$X:$AF,7,FALSE))="","",VLOOKUP(VLOOKUP(A215,'[1]plan gier'!$X:$AF,7,FALSE),'[1]zawodnicy'!$A:$E,1,FALSE)))</f>
        <v>B0009</v>
      </c>
      <c r="G215" s="2" t="str">
        <f>IF(A215=0,IF(AND(LEN(C215)&gt;1,LEN(E215)=0),VLOOKUP(C215,'[1]zawodnicy'!$A:$E,1,FALSE),IF(AND(LEN(E215)&gt;1,LEN(C215)=0),VLOOKUP(E215,'[1]zawodnicy'!$A:$E,1,FALSE),"")),IF((VLOOKUP(A215,'[1]plan gier'!$X:$AF,8,FALSE))="","",VLOOKUP(VLOOKUP(A215,'[1]plan gier'!$X:$AF,8,FALSE),'[1]zawodnicy'!$A:$E,1,FALSE)))</f>
        <v>K0033</v>
      </c>
      <c r="H215" s="2">
        <f>IF(A215=0,"",IF((VLOOKUP(A215,'[1]plan gier'!$X:$AF,7,FALSE))="","",VLOOKUP(A215,'[1]plan gier'!$X:$AF,9,FALSE)))</f>
      </c>
      <c r="L215" s="144">
        <f>IF(A215=0,"",IF(VLOOKUP(A215,'[1]plan gier'!A:S,19,FALSE)="","",VLOOKUP(A215,'[1]plan gier'!A:S,19,FALSE)))</f>
      </c>
      <c r="M215" s="2" t="str">
        <f>N213</f>
        <v>Podwójna</v>
      </c>
      <c r="N215" s="158"/>
      <c r="O215" s="155"/>
      <c r="P215" s="155"/>
      <c r="Q215" s="129"/>
      <c r="R215" s="129"/>
      <c r="S215" s="223" t="str">
        <f>UPPER(IF(O214="","",IF(ISTEXT(N215),N215,IF(AND(N212&gt;0,O214&gt;0),VLOOKUP(N212&amp;O214&amp;N213,I:K,3,FALSE),""))))</f>
        <v>K0033</v>
      </c>
      <c r="T215" s="224"/>
      <c r="U215" s="159" t="str">
        <f>IF(S215&lt;&gt;"",CONCATENATE(VLOOKUP(S215,'[1]zawodnicy'!$A:$E,2,FALSE)," ",VLOOKUP(S215,'[1]zawodnicy'!$A:$E,3,FALSE)," - ",VLOOKUP(S215,'[1]zawodnicy'!$A:$E,4,FALSE)),"")</f>
        <v>Marek KAMIŃSKI - Nowa Dęba</v>
      </c>
      <c r="V215" s="160"/>
      <c r="W215" s="227" t="str">
        <f>IF(ISBLANK(V215),IF(AND(LEN(S215)&gt;0,LEN(S217)=0),VLOOKUP(S215,'[1]zawodnicy'!$A:$E,3,FALSE),IF(AND(LEN(S217)&gt;0,LEN(S215)=0),VLOOKUP(S217,'[1]zawodnicy'!$A:$E,3,FALSE),"")),IF((VLOOKUP(V215,'[1]plan gier'!$X:$AF,8,FALSE))="","",VLOOKUP(VLOOKUP(V215,'[1]plan gier'!$X:$AF,8,FALSE),'[1]zawodnicy'!$A:$E,3,FALSE)))</f>
        <v>KAMIŃSKI</v>
      </c>
      <c r="X215" s="228"/>
      <c r="Y215" s="228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</row>
    <row r="216" spans="10:63" ht="11.25" customHeight="1">
      <c r="J216" s="2"/>
      <c r="K216" s="2"/>
      <c r="L216" s="2"/>
      <c r="M216" s="142"/>
      <c r="N216" s="158"/>
      <c r="O216" s="154">
        <f>IF(P216="","",MAX(O214:O215)+1)</f>
      </c>
      <c r="P216" s="155">
        <f>IF(O212&gt;3,9,"")</f>
      </c>
      <c r="Q216" s="128">
        <f>O216</f>
      </c>
      <c r="R216" s="128"/>
      <c r="S216" s="221">
        <f>UPPER(IF(O216="","",IF(ISTEXT(N216),N216,IF(AND(N212&gt;0,O216&gt;0),VLOOKUP(N212&amp;O216&amp;N213,I:K,2,FALSE),""))))</f>
      </c>
      <c r="T216" s="222"/>
      <c r="U216" s="156">
        <f>IF(S216&lt;&gt;"",CONCATENATE(VLOOKUP(S216,'[1]zawodnicy'!$A:$E,2,FALSE)," ",VLOOKUP(S216,'[1]zawodnicy'!$A:$E,3,FALSE)," - ",VLOOKUP(S216,'[1]zawodnicy'!$A:$E,4,FALSE)),"")</f>
      </c>
      <c r="V216" s="161"/>
      <c r="W216" s="230">
        <f>IF(ISBLANK(V215),"",IF((VLOOKUP(V215,'[1]plan gier'!$X:$AF,7,FALSE))="",L215,VLOOKUP(V215,'[1]plan gier'!$X:$AF,9,FALSE)))</f>
      </c>
      <c r="X216" s="230"/>
      <c r="Y216" s="231"/>
      <c r="Z216" s="234" t="str">
        <f>IF(ISBLANK(Y217),IF(AND(LEN(W214)&gt;0,LEN(W218)=0),W214,IF(AND(LEN(W218)&gt;0,LEN(W214)=0),W218,"")),IF((VLOOKUP(Y217,'[1]plan gier'!$X:$AF,7,FALSE))="","",VLOOKUP(VLOOKUP(Y217,'[1]plan gier'!$X:$AF,7,FALSE),'[1]zawodnicy'!$A:$E,3,FALSE)))</f>
        <v>KALTENBERG</v>
      </c>
      <c r="AA216" s="234"/>
      <c r="AB216" s="234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</row>
    <row r="217" spans="1:63" ht="15.75" thickBot="1">
      <c r="A217" s="126">
        <f>Y217</f>
        <v>55</v>
      </c>
      <c r="B217" s="2" t="str">
        <f>F215</f>
        <v>B0009</v>
      </c>
      <c r="C217" s="2" t="str">
        <f>G215</f>
        <v>K0033</v>
      </c>
      <c r="D217" s="2" t="str">
        <f>F219</f>
        <v>K0001</v>
      </c>
      <c r="E217" s="2" t="str">
        <f>G219</f>
        <v>M0023</v>
      </c>
      <c r="F217" s="2" t="str">
        <f>IF(A217=0,IF(AND(LEN(B217)&gt;0,LEN(D217)=0),B217,IF(AND(LEN(D217)&gt;0,LEN(B217)=0),D217,"")),IF((VLOOKUP(A217,'[1]plan gier'!$X:$AF,7,FALSE))="","",VLOOKUP(VLOOKUP(A217,'[1]plan gier'!$X:$AF,7,FALSE),'[1]zawodnicy'!$A:$E,1,FALSE)))</f>
        <v>K0001</v>
      </c>
      <c r="G217" s="2" t="str">
        <f>IF(A217=0,IF(AND(LEN(C217)&gt;0,LEN(E217)=0),C217,IF(AND(LEN(E217)&gt;0,LEN(C217)=0),E217,"")),IF((VLOOKUP(A217,'[1]plan gier'!$X:$AF,8,FALSE))="","",VLOOKUP(VLOOKUP(A217,'[1]plan gier'!$X:$AF,8,FALSE),'[1]zawodnicy'!$A:$E,1,FALSE)))</f>
        <v>M0023</v>
      </c>
      <c r="H217" s="2" t="str">
        <f>IF(A217=0,"",IF((VLOOKUP(A217,'[1]plan gier'!$X:$AF,7,FALSE))="","",VLOOKUP(A217,'[1]plan gier'!$X:$AF,9,FALSE)))</f>
        <v>21:18,22:20</v>
      </c>
      <c r="L217" s="144" t="str">
        <f>IF(A217=0,"",IF(VLOOKUP(A217,'[1]plan gier'!A:S,19,FALSE)="","",VLOOKUP(A217,'[1]plan gier'!A:S,19,FALSE)))</f>
        <v>godz.13:20</v>
      </c>
      <c r="M217" s="2" t="str">
        <f>N213</f>
        <v>Podwójna</v>
      </c>
      <c r="N217" s="162"/>
      <c r="O217" s="155"/>
      <c r="P217" s="155"/>
      <c r="Q217" s="129"/>
      <c r="R217" s="129"/>
      <c r="S217" s="238">
        <f>UPPER(IF(O216="","",IF(ISTEXT(N217),N217,IF(AND(N212&gt;0,O216&gt;0),VLOOKUP(N212&amp;O216&amp;N213,I:K,3,FALSE),""))))</f>
      </c>
      <c r="T217" s="239"/>
      <c r="U217" s="163">
        <f>IF(S217&lt;&gt;"",CONCATENATE(VLOOKUP(S217,'[1]zawodnicy'!$A:$E,2,FALSE)," ",VLOOKUP(S217,'[1]zawodnicy'!$A:$E,3,FALSE)," - ",VLOOKUP(S217,'[1]zawodnicy'!$A:$E,4,FALSE)),"")</f>
      </c>
      <c r="V217" s="164"/>
      <c r="W217" s="129"/>
      <c r="X217" s="29"/>
      <c r="Y217" s="130">
        <v>55</v>
      </c>
      <c r="Z217" s="227" t="str">
        <f>IF(ISBLANK(Y217),IF(AND(LEN(W215)&gt;0,LEN(W219)=0),W215,IF(AND(LEN(W219)&gt;0,LEN(W215)=0),W219,"")),IF((VLOOKUP(Y217,'[1]plan gier'!$X:$AF,8,FALSE))="","",VLOOKUP(VLOOKUP(Y217,'[1]plan gier'!$X:$AF,8,FALSE),'[1]zawodnicy'!$A:$E,3,FALSE)))</f>
        <v>MALIK</v>
      </c>
      <c r="AA217" s="228"/>
      <c r="AB217" s="228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</row>
    <row r="218" spans="10:63" ht="15.75" thickTop="1">
      <c r="J218" s="2"/>
      <c r="K218" s="2"/>
      <c r="L218" s="2"/>
      <c r="M218" s="142"/>
      <c r="N218" s="165"/>
      <c r="O218" s="154">
        <f>IF(P218="","",MAX(O214:O217)+1)</f>
        <v>2</v>
      </c>
      <c r="P218" s="155">
        <f>IF(O212&gt;2,24,"")</f>
        <v>24</v>
      </c>
      <c r="Q218" s="128">
        <f>O218</f>
        <v>2</v>
      </c>
      <c r="R218" s="128"/>
      <c r="S218" s="240" t="str">
        <f>UPPER(IF(O218="","",IF(ISTEXT(N218),N218,IF(AND(N212&gt;0,O218&gt;0),VLOOKUP(N212&amp;O218&amp;N213,I:K,2,FALSE),""))))</f>
        <v>K0001</v>
      </c>
      <c r="T218" s="241"/>
      <c r="U218" s="166" t="str">
        <f>IF(S218&lt;&gt;"",CONCATENATE(VLOOKUP(S218,'[1]zawodnicy'!$A:$E,2,FALSE)," ",VLOOKUP(S218,'[1]zawodnicy'!$A:$E,3,FALSE)," - ",VLOOKUP(S218,'[1]zawodnicy'!$A:$E,4,FALSE)),"")</f>
        <v>Marcin KALTENBERG - Tarnobrzeg</v>
      </c>
      <c r="V218" s="167"/>
      <c r="W218" s="233" t="str">
        <f>IF(ISBLANK(V219),IF(AND(LEN(S218)&gt;0,LEN(S220)=0),VLOOKUP(S218,'[1]zawodnicy'!$A:$E,3,FALSE),IF(AND(LEN(S220)&gt;0,LEN(S218)=0),VLOOKUP(S220,'[1]zawodnicy'!$A:$E,3,FALSE),"")),IF((VLOOKUP(V219,'[1]plan gier'!$X:$AF,7,FALSE))="","",VLOOKUP(VLOOKUP(V219,'[1]plan gier'!$X:$AF,7,FALSE),'[1]zawodnicy'!$A:$E,3,FALSE)))</f>
        <v>KALTENBERG</v>
      </c>
      <c r="X218" s="234"/>
      <c r="Y218" s="237"/>
      <c r="Z218" s="234" t="str">
        <f>IF(ISBLANK(Y217),"",IF((VLOOKUP(Y217,'[1]plan gier'!$X:$AF,7,FALSE))="",L217,VLOOKUP(Y217,'[1]plan gier'!$X:$AF,9,FALSE)))</f>
        <v>21:18,22:20</v>
      </c>
      <c r="AA218" s="234"/>
      <c r="AB218" s="234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</row>
    <row r="219" spans="1:63" ht="11.25" customHeight="1">
      <c r="A219" s="122">
        <f>V219</f>
        <v>54</v>
      </c>
      <c r="B219" s="2" t="str">
        <f>IF(TYPE(S218)=16,"",S218)</f>
        <v>K0001</v>
      </c>
      <c r="C219" s="2" t="str">
        <f>IF(TYPE(S219)=16,"",S219)</f>
        <v>M0023</v>
      </c>
      <c r="D219" s="2" t="str">
        <f>IF(TYPE(S220)=16,"",S220)</f>
        <v>I0002</v>
      </c>
      <c r="E219" s="2" t="str">
        <f>IF(TYPE(S221)=16,"",S221)</f>
        <v>J0001</v>
      </c>
      <c r="F219" s="2" t="str">
        <f>IF(A219=0,IF(AND(LEN(B219)&gt;1,LEN(D219)=0),VLOOKUP(B219,'[1]zawodnicy'!$A:$E,1,FALSE),IF(AND(LEN(D219)&gt;1,LEN(B219)=0),VLOOKUP(D219,'[1]zawodnicy'!$A:$E,1,FALSE),"")),IF((VLOOKUP(A219,'[1]plan gier'!$X:$AF,7,FALSE))="","",VLOOKUP(VLOOKUP(A219,'[1]plan gier'!$X:$AF,7,FALSE),'[1]zawodnicy'!$A:$E,1,FALSE)))</f>
        <v>K0001</v>
      </c>
      <c r="G219" s="2" t="str">
        <f>IF(A219=0,IF(AND(LEN(C219)&gt;1,LEN(E219)=0),VLOOKUP(C219,'[1]zawodnicy'!$A:$E,1,FALSE),IF(AND(LEN(E219)&gt;1,LEN(C219)=0),VLOOKUP(E219,'[1]zawodnicy'!$A:$E,1,FALSE),"")),IF((VLOOKUP(A219,'[1]plan gier'!$X:$AF,8,FALSE))="","",VLOOKUP(VLOOKUP(A219,'[1]plan gier'!$X:$AF,8,FALSE),'[1]zawodnicy'!$A:$E,1,FALSE)))</f>
        <v>M0023</v>
      </c>
      <c r="H219" s="2" t="str">
        <f>IF(A219=0,"",IF((VLOOKUP(A219,'[1]plan gier'!$X:$AF,7,FALSE))="","",VLOOKUP(A219,'[1]plan gier'!$X:$AF,9,FALSE)))</f>
        <v>21:10,21:13</v>
      </c>
      <c r="L219" s="144" t="str">
        <f>IF(A219=0,"",IF(VLOOKUP(A219,'[1]plan gier'!A:S,19,FALSE)="","",VLOOKUP(A219,'[1]plan gier'!A:S,19,FALSE)))</f>
        <v>godz.13:20</v>
      </c>
      <c r="M219" s="2" t="str">
        <f>N213</f>
        <v>Podwójna</v>
      </c>
      <c r="N219" s="158"/>
      <c r="O219" s="155"/>
      <c r="P219" s="155"/>
      <c r="Q219" s="129"/>
      <c r="R219" s="129"/>
      <c r="S219" s="223" t="str">
        <f>UPPER(IF(O218="","",IF(ISTEXT(N219),N219,IF(AND(N212&gt;0,O218&gt;0),VLOOKUP(N212&amp;O218&amp;N213,I:K,3,FALSE),""))))</f>
        <v>M0023</v>
      </c>
      <c r="T219" s="224"/>
      <c r="U219" s="159" t="str">
        <f>IF(S219&lt;&gt;"",CONCATENATE(VLOOKUP(S219,'[1]zawodnicy'!$A:$E,2,FALSE)," ",VLOOKUP(S219,'[1]zawodnicy'!$A:$E,3,FALSE)," - ",VLOOKUP(S219,'[1]zawodnicy'!$A:$E,4,FALSE)),"")</f>
        <v>Tymoteusz MALIK - Tarnobrzeg</v>
      </c>
      <c r="V219" s="160">
        <v>54</v>
      </c>
      <c r="W219" s="227" t="str">
        <f>IF(ISBLANK(V219),IF(AND(LEN(S219)&gt;0,LEN(S221)=0),VLOOKUP(S219,'[1]zawodnicy'!$A:$E,3,FALSE),IF(AND(LEN(S221)&gt;0,LEN(S219)=0),VLOOKUP(S221,'[1]zawodnicy'!$A:$E,3,FALSE),"")),IF((VLOOKUP(V219,'[1]plan gier'!$X:$AF,8,FALSE))="","",VLOOKUP(VLOOKUP(V219,'[1]plan gier'!$X:$AF,8,FALSE),'[1]zawodnicy'!$A:$E,3,FALSE)))</f>
        <v>MALIK</v>
      </c>
      <c r="X219" s="228"/>
      <c r="Y219" s="232"/>
      <c r="Z219" s="29"/>
      <c r="AA219" s="29"/>
      <c r="AB219" s="29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</row>
    <row r="220" spans="10:63" ht="11.25" customHeight="1">
      <c r="J220" s="2"/>
      <c r="K220" s="2"/>
      <c r="L220" s="2"/>
      <c r="M220" s="142"/>
      <c r="N220" s="158"/>
      <c r="O220" s="154">
        <f>IF(P220="","",MAX(O214:O219)+1)</f>
        <v>3</v>
      </c>
      <c r="P220" s="155">
        <f>IF(O212&gt;2,32,"")</f>
        <v>32</v>
      </c>
      <c r="Q220" s="128">
        <f>O220</f>
        <v>3</v>
      </c>
      <c r="R220" s="128"/>
      <c r="S220" s="221" t="str">
        <f>UPPER(IF(O220="","",IF(ISTEXT(N220),N220,IF(AND(N212&gt;0,O220&gt;0),VLOOKUP(N212&amp;O220&amp;N213,I:K,2,FALSE),""))))</f>
        <v>I0002</v>
      </c>
      <c r="T220" s="222"/>
      <c r="U220" s="156" t="str">
        <f>IF(S220&lt;&gt;"",CONCATENATE(VLOOKUP(S220,'[1]zawodnicy'!$A:$E,2,FALSE)," ",VLOOKUP(S220,'[1]zawodnicy'!$A:$E,3,FALSE)," - ",VLOOKUP(S220,'[1]zawodnicy'!$A:$E,4,FALSE)),"")</f>
        <v>Igor IWAŃSKI - Mielec</v>
      </c>
      <c r="V220" s="161"/>
      <c r="W220" s="229" t="str">
        <f>IF(ISBLANK(V219),"",IF((VLOOKUP(V219,'[1]plan gier'!$X:$AF,7,FALSE))="",L219,VLOOKUP(V219,'[1]plan gier'!$X:$AF,9,FALSE)))</f>
        <v>21:10,21:13</v>
      </c>
      <c r="X220" s="230"/>
      <c r="Y220" s="230"/>
      <c r="Z220" s="29"/>
      <c r="AA220" s="29"/>
      <c r="AB220" s="129"/>
      <c r="AC220" s="129"/>
      <c r="AD220" s="129"/>
      <c r="AE220" s="129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</row>
    <row r="221" spans="1:63" ht="11.25" customHeight="1">
      <c r="A221" s="168"/>
      <c r="B221" s="9"/>
      <c r="C221" s="9"/>
      <c r="D221" s="9"/>
      <c r="E221" s="9"/>
      <c r="F221" s="9"/>
      <c r="G221" s="9"/>
      <c r="H221" s="9"/>
      <c r="I221" s="9"/>
      <c r="M221" s="9"/>
      <c r="N221" s="158"/>
      <c r="O221" s="155"/>
      <c r="P221" s="155"/>
      <c r="Q221" s="129"/>
      <c r="R221" s="129"/>
      <c r="S221" s="223" t="str">
        <f>UPPER(IF(O220="","",IF(ISTEXT(N221),N221,IF(AND(N212&gt;0,O220&gt;0),VLOOKUP(N212&amp;O220&amp;N213,I:K,3,FALSE),""))))</f>
        <v>J0001</v>
      </c>
      <c r="T221" s="224"/>
      <c r="U221" s="159" t="str">
        <f>IF(S221&lt;&gt;"",CONCATENATE(VLOOKUP(S221,'[1]zawodnicy'!$A:$E,2,FALSE)," ",VLOOKUP(S221,'[1]zawodnicy'!$A:$E,3,FALSE)," - ",VLOOKUP(S221,'[1]zawodnicy'!$A:$E,4,FALSE)),"")</f>
        <v>Mateusz JĘDRZEJKO - Rzeszów</v>
      </c>
      <c r="V221" s="169"/>
      <c r="W221" s="29"/>
      <c r="X221" s="29"/>
      <c r="Y221" s="29"/>
      <c r="Z221" s="29"/>
      <c r="AA221" s="29"/>
      <c r="AB221" s="138"/>
      <c r="AC221" s="129"/>
      <c r="AD221" s="129"/>
      <c r="AE221" s="129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</row>
    <row r="222" ht="15"/>
    <row r="223" ht="15"/>
    <row r="224" ht="15"/>
    <row r="225" ht="15"/>
    <row r="226" ht="15"/>
    <row r="227" ht="15"/>
  </sheetData>
  <sheetProtection password="A6CF" sheet="1"/>
  <mergeCells count="625">
    <mergeCell ref="S219:T219"/>
    <mergeCell ref="W219:Y219"/>
    <mergeCell ref="S220:T220"/>
    <mergeCell ref="W220:Y220"/>
    <mergeCell ref="S221:T221"/>
    <mergeCell ref="S216:T216"/>
    <mergeCell ref="W216:Y216"/>
    <mergeCell ref="Z216:AB216"/>
    <mergeCell ref="S217:T217"/>
    <mergeCell ref="Z217:AB217"/>
    <mergeCell ref="S218:T218"/>
    <mergeCell ref="W218:Y218"/>
    <mergeCell ref="Z218:AB218"/>
    <mergeCell ref="S212:V212"/>
    <mergeCell ref="W212:Y212"/>
    <mergeCell ref="Z212:AB212"/>
    <mergeCell ref="S214:T214"/>
    <mergeCell ref="W214:Y214"/>
    <mergeCell ref="S215:T215"/>
    <mergeCell ref="W215:Y215"/>
    <mergeCell ref="T207:T209"/>
    <mergeCell ref="U207:V207"/>
    <mergeCell ref="Z207:Z209"/>
    <mergeCell ref="AA207:AA209"/>
    <mergeCell ref="AB207:AB209"/>
    <mergeCell ref="AC207:AC209"/>
    <mergeCell ref="U208:V208"/>
    <mergeCell ref="U209:V209"/>
    <mergeCell ref="BF203:BG203"/>
    <mergeCell ref="BH203:BI203"/>
    <mergeCell ref="T204:T206"/>
    <mergeCell ref="U204:V204"/>
    <mergeCell ref="Z204:Z206"/>
    <mergeCell ref="AA204:AA206"/>
    <mergeCell ref="AB204:AB206"/>
    <mergeCell ref="AC204:AC206"/>
    <mergeCell ref="U205:V205"/>
    <mergeCell ref="U206:V206"/>
    <mergeCell ref="AP203:AQ203"/>
    <mergeCell ref="AR203:AS203"/>
    <mergeCell ref="AV203:AW203"/>
    <mergeCell ref="AX203:AY203"/>
    <mergeCell ref="AZ203:BA203"/>
    <mergeCell ref="BD203:BE203"/>
    <mergeCell ref="Z201:Z203"/>
    <mergeCell ref="AA201:AA203"/>
    <mergeCell ref="AB201:AB203"/>
    <mergeCell ref="AC201:AC203"/>
    <mergeCell ref="AH201:AM201"/>
    <mergeCell ref="AN201:AS201"/>
    <mergeCell ref="AH203:AI203"/>
    <mergeCell ref="AJ203:AK203"/>
    <mergeCell ref="AL203:AM203"/>
    <mergeCell ref="AN203:AO203"/>
    <mergeCell ref="Q200:S200"/>
    <mergeCell ref="U200:V200"/>
    <mergeCell ref="Q201:R203"/>
    <mergeCell ref="S201:S203"/>
    <mergeCell ref="T201:T203"/>
    <mergeCell ref="U201:V201"/>
    <mergeCell ref="U202:V202"/>
    <mergeCell ref="U203:V203"/>
    <mergeCell ref="T196:T198"/>
    <mergeCell ref="U196:V196"/>
    <mergeCell ref="Z196:Z198"/>
    <mergeCell ref="AA196:AA198"/>
    <mergeCell ref="AB196:AB198"/>
    <mergeCell ref="AC196:AC198"/>
    <mergeCell ref="U197:V197"/>
    <mergeCell ref="U198:V198"/>
    <mergeCell ref="BF192:BG192"/>
    <mergeCell ref="BH192:BI192"/>
    <mergeCell ref="T193:T195"/>
    <mergeCell ref="U193:V193"/>
    <mergeCell ref="Z193:Z195"/>
    <mergeCell ref="AA193:AA195"/>
    <mergeCell ref="AB193:AB195"/>
    <mergeCell ref="AC193:AC195"/>
    <mergeCell ref="U194:V194"/>
    <mergeCell ref="U195:V195"/>
    <mergeCell ref="AP192:AQ192"/>
    <mergeCell ref="AR192:AS192"/>
    <mergeCell ref="AV192:AW192"/>
    <mergeCell ref="AX192:AY192"/>
    <mergeCell ref="AZ192:BA192"/>
    <mergeCell ref="BD192:BE192"/>
    <mergeCell ref="Z190:Z192"/>
    <mergeCell ref="AA190:AA192"/>
    <mergeCell ref="AB190:AB192"/>
    <mergeCell ref="AC190:AC192"/>
    <mergeCell ref="AH190:AM190"/>
    <mergeCell ref="AN190:AS190"/>
    <mergeCell ref="AH192:AI192"/>
    <mergeCell ref="AJ192:AK192"/>
    <mergeCell ref="AL192:AM192"/>
    <mergeCell ref="AN192:AO192"/>
    <mergeCell ref="Q189:S189"/>
    <mergeCell ref="U189:V189"/>
    <mergeCell ref="Q190:R192"/>
    <mergeCell ref="S190:S192"/>
    <mergeCell ref="T190:T192"/>
    <mergeCell ref="U190:V190"/>
    <mergeCell ref="U191:V191"/>
    <mergeCell ref="U192:V192"/>
    <mergeCell ref="T185:T187"/>
    <mergeCell ref="U185:V185"/>
    <mergeCell ref="Z185:Z187"/>
    <mergeCell ref="AA185:AA187"/>
    <mergeCell ref="AB185:AB187"/>
    <mergeCell ref="AC185:AC187"/>
    <mergeCell ref="U186:V186"/>
    <mergeCell ref="U187:V187"/>
    <mergeCell ref="BF181:BG181"/>
    <mergeCell ref="BH181:BI181"/>
    <mergeCell ref="T182:T184"/>
    <mergeCell ref="U182:V182"/>
    <mergeCell ref="Z182:Z184"/>
    <mergeCell ref="AA182:AA184"/>
    <mergeCell ref="AB182:AB184"/>
    <mergeCell ref="AC182:AC184"/>
    <mergeCell ref="U183:V183"/>
    <mergeCell ref="U184:V184"/>
    <mergeCell ref="AP181:AQ181"/>
    <mergeCell ref="AR181:AS181"/>
    <mergeCell ref="AV181:AW181"/>
    <mergeCell ref="AX181:AY181"/>
    <mergeCell ref="AZ181:BA181"/>
    <mergeCell ref="BD181:BE181"/>
    <mergeCell ref="Z179:Z181"/>
    <mergeCell ref="AA179:AA181"/>
    <mergeCell ref="AB179:AB181"/>
    <mergeCell ref="AC179:AC181"/>
    <mergeCell ref="AH179:AM179"/>
    <mergeCell ref="AN179:AS179"/>
    <mergeCell ref="AH181:AI181"/>
    <mergeCell ref="AJ181:AK181"/>
    <mergeCell ref="AL181:AM181"/>
    <mergeCell ref="AN181:AO181"/>
    <mergeCell ref="Q178:S178"/>
    <mergeCell ref="U178:V178"/>
    <mergeCell ref="Q179:R181"/>
    <mergeCell ref="S179:S181"/>
    <mergeCell ref="T179:T181"/>
    <mergeCell ref="U179:V179"/>
    <mergeCell ref="U180:V180"/>
    <mergeCell ref="U181:V181"/>
    <mergeCell ref="Z169:AB169"/>
    <mergeCell ref="S171:T171"/>
    <mergeCell ref="W171:Y171"/>
    <mergeCell ref="S172:T172"/>
    <mergeCell ref="W172:Y172"/>
    <mergeCell ref="Q176:AE176"/>
    <mergeCell ref="S164:T164"/>
    <mergeCell ref="W164:Y164"/>
    <mergeCell ref="S165:T165"/>
    <mergeCell ref="W165:Y165"/>
    <mergeCell ref="S169:V169"/>
    <mergeCell ref="W169:Y169"/>
    <mergeCell ref="AC157:AC159"/>
    <mergeCell ref="U158:V158"/>
    <mergeCell ref="U159:V159"/>
    <mergeCell ref="S162:V162"/>
    <mergeCell ref="W162:Y162"/>
    <mergeCell ref="Z162:AB162"/>
    <mergeCell ref="U156:V156"/>
    <mergeCell ref="T157:T159"/>
    <mergeCell ref="U157:V157"/>
    <mergeCell ref="Z157:Z159"/>
    <mergeCell ref="AA157:AA159"/>
    <mergeCell ref="AB157:AB159"/>
    <mergeCell ref="BD153:BE153"/>
    <mergeCell ref="BF153:BG153"/>
    <mergeCell ref="BH153:BI153"/>
    <mergeCell ref="T154:T156"/>
    <mergeCell ref="U154:V154"/>
    <mergeCell ref="Z154:Z156"/>
    <mergeCell ref="AA154:AA156"/>
    <mergeCell ref="AB154:AB156"/>
    <mergeCell ref="AC154:AC156"/>
    <mergeCell ref="U155:V155"/>
    <mergeCell ref="AN153:AO153"/>
    <mergeCell ref="AP153:AQ153"/>
    <mergeCell ref="AR153:AS153"/>
    <mergeCell ref="AV153:AW153"/>
    <mergeCell ref="AX153:AY153"/>
    <mergeCell ref="AZ153:BA153"/>
    <mergeCell ref="AA151:AA153"/>
    <mergeCell ref="AB151:AB153"/>
    <mergeCell ref="AC151:AC153"/>
    <mergeCell ref="AH151:AM151"/>
    <mergeCell ref="AN151:AS151"/>
    <mergeCell ref="U152:V152"/>
    <mergeCell ref="U153:V153"/>
    <mergeCell ref="AH153:AI153"/>
    <mergeCell ref="AJ153:AK153"/>
    <mergeCell ref="AL153:AM153"/>
    <mergeCell ref="AD146:AD148"/>
    <mergeCell ref="U147:V147"/>
    <mergeCell ref="U148:V148"/>
    <mergeCell ref="Q150:S150"/>
    <mergeCell ref="U150:V150"/>
    <mergeCell ref="Q151:R153"/>
    <mergeCell ref="S151:S153"/>
    <mergeCell ref="T151:T153"/>
    <mergeCell ref="U151:V151"/>
    <mergeCell ref="Z151:Z153"/>
    <mergeCell ref="U145:V145"/>
    <mergeCell ref="T146:T148"/>
    <mergeCell ref="U146:V146"/>
    <mergeCell ref="AA146:AA148"/>
    <mergeCell ref="AB146:AB148"/>
    <mergeCell ref="AC146:AC148"/>
    <mergeCell ref="AV140:AW140"/>
    <mergeCell ref="U141:V141"/>
    <mergeCell ref="U142:V142"/>
    <mergeCell ref="T143:T145"/>
    <mergeCell ref="U143:V143"/>
    <mergeCell ref="AA143:AA145"/>
    <mergeCell ref="AB143:AB145"/>
    <mergeCell ref="AC143:AC145"/>
    <mergeCell ref="AD143:AD145"/>
    <mergeCell ref="U144:V144"/>
    <mergeCell ref="T140:T142"/>
    <mergeCell ref="U140:V140"/>
    <mergeCell ref="AA140:AA142"/>
    <mergeCell ref="AB140:AB142"/>
    <mergeCell ref="AC140:AC142"/>
    <mergeCell ref="AD140:AD142"/>
    <mergeCell ref="AX139:AY139"/>
    <mergeCell ref="AZ139:BA139"/>
    <mergeCell ref="BB139:BC139"/>
    <mergeCell ref="BD139:BE139"/>
    <mergeCell ref="BF139:BG139"/>
    <mergeCell ref="BH139:BI139"/>
    <mergeCell ref="AJ139:AK139"/>
    <mergeCell ref="AL139:AM139"/>
    <mergeCell ref="AN139:AO139"/>
    <mergeCell ref="AP139:AQ139"/>
    <mergeCell ref="AR139:AS139"/>
    <mergeCell ref="AV139:AW139"/>
    <mergeCell ref="AB137:AB139"/>
    <mergeCell ref="AC137:AC139"/>
    <mergeCell ref="AD137:AD139"/>
    <mergeCell ref="U138:V138"/>
    <mergeCell ref="U139:V139"/>
    <mergeCell ref="AH139:AI139"/>
    <mergeCell ref="Q134:AE134"/>
    <mergeCell ref="Q136:S136"/>
    <mergeCell ref="U136:V136"/>
    <mergeCell ref="AH136:AM136"/>
    <mergeCell ref="AN136:AS136"/>
    <mergeCell ref="Q137:R139"/>
    <mergeCell ref="S137:S139"/>
    <mergeCell ref="T137:T139"/>
    <mergeCell ref="U137:V137"/>
    <mergeCell ref="AA137:AA139"/>
    <mergeCell ref="T129:T131"/>
    <mergeCell ref="U129:V129"/>
    <mergeCell ref="Z129:Z131"/>
    <mergeCell ref="AA129:AA131"/>
    <mergeCell ref="AB129:AB131"/>
    <mergeCell ref="AC129:AC131"/>
    <mergeCell ref="U130:V130"/>
    <mergeCell ref="U131:V131"/>
    <mergeCell ref="BH125:BI125"/>
    <mergeCell ref="T126:T128"/>
    <mergeCell ref="U126:V126"/>
    <mergeCell ref="Z126:Z128"/>
    <mergeCell ref="AA126:AA128"/>
    <mergeCell ref="AB126:AB128"/>
    <mergeCell ref="AC126:AC128"/>
    <mergeCell ref="U127:V127"/>
    <mergeCell ref="U128:V128"/>
    <mergeCell ref="AR125:AS125"/>
    <mergeCell ref="AV125:AW125"/>
    <mergeCell ref="AX125:AY125"/>
    <mergeCell ref="AZ125:BA125"/>
    <mergeCell ref="BD125:BE125"/>
    <mergeCell ref="BF125:BG125"/>
    <mergeCell ref="AC123:AC125"/>
    <mergeCell ref="AH123:AM123"/>
    <mergeCell ref="AN123:AS123"/>
    <mergeCell ref="AP125:AQ125"/>
    <mergeCell ref="U124:V124"/>
    <mergeCell ref="U125:V125"/>
    <mergeCell ref="AH125:AI125"/>
    <mergeCell ref="AJ125:AK125"/>
    <mergeCell ref="AL125:AM125"/>
    <mergeCell ref="AN125:AO125"/>
    <mergeCell ref="Q120:AE120"/>
    <mergeCell ref="Q122:S122"/>
    <mergeCell ref="U122:V122"/>
    <mergeCell ref="Q123:R125"/>
    <mergeCell ref="S123:S125"/>
    <mergeCell ref="T123:T125"/>
    <mergeCell ref="U123:V123"/>
    <mergeCell ref="Z123:Z125"/>
    <mergeCell ref="AA123:AA125"/>
    <mergeCell ref="AB123:AB125"/>
    <mergeCell ref="T115:T117"/>
    <mergeCell ref="U115:V115"/>
    <mergeCell ref="Z115:Z117"/>
    <mergeCell ref="AA115:AA117"/>
    <mergeCell ref="AB115:AB117"/>
    <mergeCell ref="AC115:AC117"/>
    <mergeCell ref="U116:V116"/>
    <mergeCell ref="U117:V117"/>
    <mergeCell ref="BH111:BI111"/>
    <mergeCell ref="T112:T114"/>
    <mergeCell ref="U112:V112"/>
    <mergeCell ref="Z112:Z114"/>
    <mergeCell ref="AA112:AA114"/>
    <mergeCell ref="AB112:AB114"/>
    <mergeCell ref="AC112:AC114"/>
    <mergeCell ref="U113:V113"/>
    <mergeCell ref="U114:V114"/>
    <mergeCell ref="AR111:AS111"/>
    <mergeCell ref="AV111:AW111"/>
    <mergeCell ref="AX111:AY111"/>
    <mergeCell ref="AZ111:BA111"/>
    <mergeCell ref="BD111:BE111"/>
    <mergeCell ref="BF111:BG111"/>
    <mergeCell ref="AC109:AC111"/>
    <mergeCell ref="AH109:AM109"/>
    <mergeCell ref="AN109:AS109"/>
    <mergeCell ref="AP111:AQ111"/>
    <mergeCell ref="U110:V110"/>
    <mergeCell ref="U111:V111"/>
    <mergeCell ref="AH111:AI111"/>
    <mergeCell ref="AJ111:AK111"/>
    <mergeCell ref="AL111:AM111"/>
    <mergeCell ref="AN111:AO111"/>
    <mergeCell ref="Q106:AE106"/>
    <mergeCell ref="Q108:S108"/>
    <mergeCell ref="U108:V108"/>
    <mergeCell ref="Q109:R111"/>
    <mergeCell ref="S109:S111"/>
    <mergeCell ref="T109:T111"/>
    <mergeCell ref="U109:V109"/>
    <mergeCell ref="Z109:Z111"/>
    <mergeCell ref="AA109:AA111"/>
    <mergeCell ref="AB109:AB111"/>
    <mergeCell ref="S100:V100"/>
    <mergeCell ref="W100:Y100"/>
    <mergeCell ref="Z100:AB100"/>
    <mergeCell ref="S102:T102"/>
    <mergeCell ref="W102:Y102"/>
    <mergeCell ref="S103:T103"/>
    <mergeCell ref="W103:Y103"/>
    <mergeCell ref="Z94:AB94"/>
    <mergeCell ref="Z95:AB95"/>
    <mergeCell ref="Q96:R97"/>
    <mergeCell ref="S96:T97"/>
    <mergeCell ref="U96:V97"/>
    <mergeCell ref="W96:Y96"/>
    <mergeCell ref="W97:Y97"/>
    <mergeCell ref="AC90:AE90"/>
    <mergeCell ref="AC91:AE91"/>
    <mergeCell ref="Q92:R93"/>
    <mergeCell ref="S92:T93"/>
    <mergeCell ref="U92:V93"/>
    <mergeCell ref="W92:Y92"/>
    <mergeCell ref="W93:Y93"/>
    <mergeCell ref="Z86:AB86"/>
    <mergeCell ref="Z87:AB87"/>
    <mergeCell ref="Q88:R89"/>
    <mergeCell ref="S88:T89"/>
    <mergeCell ref="U88:V89"/>
    <mergeCell ref="W88:Y88"/>
    <mergeCell ref="W89:Y89"/>
    <mergeCell ref="AC82:AE82"/>
    <mergeCell ref="AC83:AE83"/>
    <mergeCell ref="S84:T84"/>
    <mergeCell ref="W84:Y84"/>
    <mergeCell ref="S85:T85"/>
    <mergeCell ref="W85:Y85"/>
    <mergeCell ref="Z78:AB78"/>
    <mergeCell ref="Z79:AB79"/>
    <mergeCell ref="S80:T80"/>
    <mergeCell ref="W80:Y80"/>
    <mergeCell ref="AC80:AE80"/>
    <mergeCell ref="S81:T81"/>
    <mergeCell ref="W81:Y81"/>
    <mergeCell ref="AC74:AE74"/>
    <mergeCell ref="AC75:AE75"/>
    <mergeCell ref="Q76:R77"/>
    <mergeCell ref="S76:T77"/>
    <mergeCell ref="U76:V77"/>
    <mergeCell ref="W76:Y76"/>
    <mergeCell ref="W77:Y77"/>
    <mergeCell ref="Z71:AB71"/>
    <mergeCell ref="Q72:R73"/>
    <mergeCell ref="S72:T73"/>
    <mergeCell ref="U72:V73"/>
    <mergeCell ref="W72:Y72"/>
    <mergeCell ref="W73:Y73"/>
    <mergeCell ref="Q68:R69"/>
    <mergeCell ref="S68:T69"/>
    <mergeCell ref="U68:V69"/>
    <mergeCell ref="W68:Y68"/>
    <mergeCell ref="W69:Y69"/>
    <mergeCell ref="Z70:AB70"/>
    <mergeCell ref="T60:T62"/>
    <mergeCell ref="U60:V60"/>
    <mergeCell ref="Z60:Z62"/>
    <mergeCell ref="AA60:AA62"/>
    <mergeCell ref="AB60:AB62"/>
    <mergeCell ref="AC60:AC62"/>
    <mergeCell ref="U61:V61"/>
    <mergeCell ref="U62:V62"/>
    <mergeCell ref="BF56:BG56"/>
    <mergeCell ref="BH56:BI56"/>
    <mergeCell ref="T57:T59"/>
    <mergeCell ref="U57:V57"/>
    <mergeCell ref="Z57:Z59"/>
    <mergeCell ref="AA57:AA59"/>
    <mergeCell ref="AB57:AB59"/>
    <mergeCell ref="AC57:AC59"/>
    <mergeCell ref="U58:V58"/>
    <mergeCell ref="U59:V59"/>
    <mergeCell ref="AP56:AQ56"/>
    <mergeCell ref="AR56:AS56"/>
    <mergeCell ref="AV56:AW56"/>
    <mergeCell ref="AX56:AY56"/>
    <mergeCell ref="AZ56:BA56"/>
    <mergeCell ref="BD56:BE56"/>
    <mergeCell ref="Z54:Z56"/>
    <mergeCell ref="AA54:AA56"/>
    <mergeCell ref="AB54:AB56"/>
    <mergeCell ref="AC54:AC56"/>
    <mergeCell ref="AH54:AM54"/>
    <mergeCell ref="AN54:AS54"/>
    <mergeCell ref="AH56:AI56"/>
    <mergeCell ref="AJ56:AK56"/>
    <mergeCell ref="AL56:AM56"/>
    <mergeCell ref="AN56:AO56"/>
    <mergeCell ref="Q53:S53"/>
    <mergeCell ref="U53:V53"/>
    <mergeCell ref="Q54:R56"/>
    <mergeCell ref="S54:S56"/>
    <mergeCell ref="T54:T56"/>
    <mergeCell ref="U54:V54"/>
    <mergeCell ref="U55:V55"/>
    <mergeCell ref="U56:V56"/>
    <mergeCell ref="T49:T51"/>
    <mergeCell ref="U49:V49"/>
    <mergeCell ref="Z49:Z51"/>
    <mergeCell ref="AA49:AA51"/>
    <mergeCell ref="AB49:AB51"/>
    <mergeCell ref="AC49:AC51"/>
    <mergeCell ref="U50:V50"/>
    <mergeCell ref="U51:V51"/>
    <mergeCell ref="BF45:BG45"/>
    <mergeCell ref="BH45:BI45"/>
    <mergeCell ref="T46:T48"/>
    <mergeCell ref="U46:V46"/>
    <mergeCell ref="Z46:Z48"/>
    <mergeCell ref="AA46:AA48"/>
    <mergeCell ref="AB46:AB48"/>
    <mergeCell ref="AC46:AC48"/>
    <mergeCell ref="U47:V47"/>
    <mergeCell ref="U48:V48"/>
    <mergeCell ref="AP45:AQ45"/>
    <mergeCell ref="AR45:AS45"/>
    <mergeCell ref="AV45:AW45"/>
    <mergeCell ref="AX45:AY45"/>
    <mergeCell ref="AZ45:BA45"/>
    <mergeCell ref="BD45:BE45"/>
    <mergeCell ref="Z43:Z45"/>
    <mergeCell ref="AA43:AA45"/>
    <mergeCell ref="AB43:AB45"/>
    <mergeCell ref="AC43:AC45"/>
    <mergeCell ref="AH43:AM43"/>
    <mergeCell ref="AN43:AS43"/>
    <mergeCell ref="AH45:AI45"/>
    <mergeCell ref="AJ45:AK45"/>
    <mergeCell ref="AL45:AM45"/>
    <mergeCell ref="AN45:AO45"/>
    <mergeCell ref="U40:V40"/>
    <mergeCell ref="Q42:S42"/>
    <mergeCell ref="U42:V42"/>
    <mergeCell ref="Q43:R45"/>
    <mergeCell ref="S43:S45"/>
    <mergeCell ref="T43:T45"/>
    <mergeCell ref="U43:V43"/>
    <mergeCell ref="U44:V44"/>
    <mergeCell ref="U45:V45"/>
    <mergeCell ref="AD35:AD37"/>
    <mergeCell ref="U36:V36"/>
    <mergeCell ref="U37:V37"/>
    <mergeCell ref="T38:T40"/>
    <mergeCell ref="U38:V38"/>
    <mergeCell ref="AA38:AA40"/>
    <mergeCell ref="AB38:AB40"/>
    <mergeCell ref="AC38:AC40"/>
    <mergeCell ref="AD38:AD40"/>
    <mergeCell ref="U39:V39"/>
    <mergeCell ref="U34:V34"/>
    <mergeCell ref="T35:T37"/>
    <mergeCell ref="U35:V35"/>
    <mergeCell ref="AA35:AA37"/>
    <mergeCell ref="AB35:AB37"/>
    <mergeCell ref="AC35:AC37"/>
    <mergeCell ref="BF31:BG31"/>
    <mergeCell ref="BH31:BI31"/>
    <mergeCell ref="T32:T34"/>
    <mergeCell ref="U32:V32"/>
    <mergeCell ref="AA32:AA34"/>
    <mergeCell ref="AB32:AB34"/>
    <mergeCell ref="AC32:AC34"/>
    <mergeCell ref="AD32:AD34"/>
    <mergeCell ref="AV32:AW32"/>
    <mergeCell ref="U33:V33"/>
    <mergeCell ref="AR31:AS31"/>
    <mergeCell ref="AV31:AW31"/>
    <mergeCell ref="AX31:AY31"/>
    <mergeCell ref="AZ31:BA31"/>
    <mergeCell ref="BB31:BC31"/>
    <mergeCell ref="BD31:BE31"/>
    <mergeCell ref="U31:V31"/>
    <mergeCell ref="AH31:AI31"/>
    <mergeCell ref="AJ31:AK31"/>
    <mergeCell ref="AL31:AM31"/>
    <mergeCell ref="AN31:AO31"/>
    <mergeCell ref="AP31:AQ31"/>
    <mergeCell ref="AN28:AS28"/>
    <mergeCell ref="Q29:R31"/>
    <mergeCell ref="S29:S31"/>
    <mergeCell ref="T29:T31"/>
    <mergeCell ref="U29:V29"/>
    <mergeCell ref="AA29:AA31"/>
    <mergeCell ref="AB29:AB31"/>
    <mergeCell ref="AC29:AC31"/>
    <mergeCell ref="AD29:AD31"/>
    <mergeCell ref="U30:V30"/>
    <mergeCell ref="AC24:AC26"/>
    <mergeCell ref="U25:V25"/>
    <mergeCell ref="U26:V26"/>
    <mergeCell ref="Q28:S28"/>
    <mergeCell ref="U28:V28"/>
    <mergeCell ref="AH28:AM28"/>
    <mergeCell ref="U23:V23"/>
    <mergeCell ref="T24:T26"/>
    <mergeCell ref="U24:V24"/>
    <mergeCell ref="Z24:Z26"/>
    <mergeCell ref="AA24:AA26"/>
    <mergeCell ref="AB24:AB26"/>
    <mergeCell ref="BD20:BE20"/>
    <mergeCell ref="BF20:BG20"/>
    <mergeCell ref="BH20:BI20"/>
    <mergeCell ref="T21:T23"/>
    <mergeCell ref="U21:V21"/>
    <mergeCell ref="Z21:Z23"/>
    <mergeCell ref="AA21:AA23"/>
    <mergeCell ref="AB21:AB23"/>
    <mergeCell ref="AC21:AC23"/>
    <mergeCell ref="U22:V22"/>
    <mergeCell ref="AN20:AO20"/>
    <mergeCell ref="AP20:AQ20"/>
    <mergeCell ref="AR20:AS20"/>
    <mergeCell ref="AV20:AW20"/>
    <mergeCell ref="AX20:AY20"/>
    <mergeCell ref="AZ20:BA20"/>
    <mergeCell ref="AA18:AA20"/>
    <mergeCell ref="AB18:AB20"/>
    <mergeCell ref="AC18:AC20"/>
    <mergeCell ref="AH18:AM18"/>
    <mergeCell ref="AN18:AS18"/>
    <mergeCell ref="U19:V19"/>
    <mergeCell ref="U20:V20"/>
    <mergeCell ref="AH20:AI20"/>
    <mergeCell ref="AJ20:AK20"/>
    <mergeCell ref="AL20:AM20"/>
    <mergeCell ref="AC13:AC15"/>
    <mergeCell ref="U14:V14"/>
    <mergeCell ref="U15:V15"/>
    <mergeCell ref="Q17:S17"/>
    <mergeCell ref="U17:V17"/>
    <mergeCell ref="Q18:R20"/>
    <mergeCell ref="S18:S20"/>
    <mergeCell ref="T18:T20"/>
    <mergeCell ref="U18:V18"/>
    <mergeCell ref="Z18:Z20"/>
    <mergeCell ref="U12:V12"/>
    <mergeCell ref="T13:T15"/>
    <mergeCell ref="U13:V13"/>
    <mergeCell ref="Z13:Z15"/>
    <mergeCell ref="AA13:AA15"/>
    <mergeCell ref="AB13:AB15"/>
    <mergeCell ref="BD9:BE9"/>
    <mergeCell ref="BF9:BG9"/>
    <mergeCell ref="BH9:BI9"/>
    <mergeCell ref="T10:T12"/>
    <mergeCell ref="U10:V10"/>
    <mergeCell ref="Z10:Z12"/>
    <mergeCell ref="AA10:AA12"/>
    <mergeCell ref="AB10:AB12"/>
    <mergeCell ref="AC10:AC12"/>
    <mergeCell ref="U11:V11"/>
    <mergeCell ref="AN9:AO9"/>
    <mergeCell ref="AP9:AQ9"/>
    <mergeCell ref="AR9:AS9"/>
    <mergeCell ref="AV9:AW9"/>
    <mergeCell ref="AX9:AY9"/>
    <mergeCell ref="AZ9:BA9"/>
    <mergeCell ref="AA7:AA9"/>
    <mergeCell ref="AB7:AB9"/>
    <mergeCell ref="AC7:AC9"/>
    <mergeCell ref="AH7:AM7"/>
    <mergeCell ref="AN7:AS7"/>
    <mergeCell ref="U8:V8"/>
    <mergeCell ref="U9:V9"/>
    <mergeCell ref="AH9:AI9"/>
    <mergeCell ref="AJ9:AK9"/>
    <mergeCell ref="AL9:AM9"/>
    <mergeCell ref="Q1:AE1"/>
    <mergeCell ref="Q2:AE2"/>
    <mergeCell ref="Q4:AE4"/>
    <mergeCell ref="Q6:S6"/>
    <mergeCell ref="U6:V6"/>
    <mergeCell ref="Q7:R9"/>
    <mergeCell ref="S7:S9"/>
    <mergeCell ref="T7:T9"/>
    <mergeCell ref="U7:V7"/>
    <mergeCell ref="Z7:Z9"/>
  </mergeCells>
  <dataValidations count="1">
    <dataValidation type="list" allowBlank="1" showInputMessage="1" showErrorMessage="1" sqref="N213">
      <formula1>Podw</formula1>
    </dataValidation>
  </dataValidations>
  <printOptions/>
  <pageMargins left="0.7" right="0.7" top="0.75" bottom="0.75" header="0.3" footer="0.3"/>
  <pageSetup horizontalDpi="600" verticalDpi="600" orientation="portrait" paperSize="9" scale="56" r:id="rId3"/>
  <rowBreaks count="2" manualBreakCount="2">
    <brk id="104" min="16" max="30" man="1"/>
    <brk id="174" min="16" max="3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</dc:creator>
  <cp:keywords/>
  <dc:description/>
  <cp:lastModifiedBy>sony</cp:lastModifiedBy>
  <cp:lastPrinted>2012-10-22T18:29:26Z</cp:lastPrinted>
  <dcterms:created xsi:type="dcterms:W3CDTF">2012-10-22T18:20:34Z</dcterms:created>
  <dcterms:modified xsi:type="dcterms:W3CDTF">2012-10-24T18:28:18Z</dcterms:modified>
  <cp:category/>
  <cp:version/>
  <cp:contentType/>
  <cp:contentStatus/>
</cp:coreProperties>
</file>